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 Mesquita\Desktop\Área de Trabalho\PMA 2021\PMA - REFINO\"/>
    </mc:Choice>
  </mc:AlternateContent>
  <xr:revisionPtr revIDLastSave="0" documentId="8_{16F4034E-1EF9-4053-B235-3EA7D8DD7AA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DFP - refino 02" sheetId="11" r:id="rId1"/>
    <sheet name="modelo 02" sheetId="9" r:id="rId2"/>
    <sheet name="catação 02" sheetId="10" r:id="rId3"/>
    <sheet name="DFP - refino 01" sheetId="12" r:id="rId4"/>
    <sheet name="modelo 01" sheetId="13" r:id="rId5"/>
    <sheet name="catação 01" sheetId="14" r:id="rId6"/>
  </sheets>
  <definedNames>
    <definedName name="_xlnm.Print_Area" localSheetId="3">'DFP - refino 01'!$A$1:$F$146</definedName>
    <definedName name="_xlnm.Print_Area" localSheetId="0">'DFP - refino 02'!$A$1:$E$148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2" l="1"/>
  <c r="C63" i="12"/>
  <c r="C61" i="12"/>
  <c r="C59" i="12"/>
  <c r="C58" i="12"/>
  <c r="C68" i="11"/>
  <c r="C65" i="11"/>
  <c r="C62" i="11"/>
  <c r="C61" i="11"/>
  <c r="C60" i="11"/>
  <c r="C63" i="11"/>
  <c r="C60" i="12"/>
  <c r="D43" i="11"/>
  <c r="D44" i="11"/>
  <c r="C11" i="11"/>
  <c r="C66" i="12"/>
  <c r="C67" i="12"/>
  <c r="G52" i="13"/>
  <c r="G63" i="13"/>
  <c r="H20" i="13"/>
  <c r="H19" i="13"/>
  <c r="H18" i="13"/>
  <c r="H17" i="13"/>
  <c r="H16" i="13"/>
  <c r="H15" i="13"/>
  <c r="H12" i="13"/>
  <c r="H11" i="13"/>
  <c r="C9" i="12"/>
  <c r="C10" i="12"/>
  <c r="C11" i="12"/>
  <c r="C12" i="12"/>
  <c r="C13" i="12"/>
  <c r="C14" i="12"/>
  <c r="C15" i="12"/>
  <c r="C16" i="12"/>
  <c r="C17" i="12"/>
  <c r="C18" i="12"/>
  <c r="C19" i="12"/>
  <c r="F15" i="13"/>
  <c r="G15" i="13"/>
  <c r="C19" i="13"/>
  <c r="G19" i="13" s="1"/>
  <c r="C14" i="13"/>
  <c r="F14" i="13" s="1"/>
  <c r="C10" i="13"/>
  <c r="F10" i="13" s="1"/>
  <c r="C9" i="13"/>
  <c r="F9" i="13" s="1"/>
  <c r="C8" i="13"/>
  <c r="F8" i="13" s="1"/>
  <c r="G12" i="13"/>
  <c r="G11" i="13"/>
  <c r="F20" i="13"/>
  <c r="F18" i="13"/>
  <c r="F17" i="13"/>
  <c r="F16" i="13"/>
  <c r="F12" i="13"/>
  <c r="F11" i="13"/>
  <c r="H8" i="9"/>
  <c r="H9" i="9"/>
  <c r="H10" i="9"/>
  <c r="H12" i="9"/>
  <c r="H11" i="9"/>
  <c r="H8" i="13" l="1"/>
  <c r="H14" i="13"/>
  <c r="I15" i="13"/>
  <c r="H10" i="13"/>
  <c r="F19" i="13"/>
  <c r="I19" i="13" s="1"/>
  <c r="I8" i="13"/>
  <c r="G11" i="9" l="1"/>
  <c r="G12" i="9"/>
  <c r="F11" i="9"/>
  <c r="C8" i="12"/>
  <c r="I11" i="9" l="1"/>
  <c r="C45" i="11"/>
  <c r="D63" i="11"/>
  <c r="C9" i="11"/>
  <c r="C10" i="11"/>
  <c r="C12" i="11"/>
  <c r="C13" i="11"/>
  <c r="C14" i="11"/>
  <c r="C15" i="11"/>
  <c r="C16" i="11"/>
  <c r="C17" i="11"/>
  <c r="C18" i="11"/>
  <c r="C19" i="11"/>
  <c r="C8" i="11"/>
  <c r="D61" i="12"/>
  <c r="H20" i="9"/>
  <c r="H18" i="9"/>
  <c r="H17" i="9"/>
  <c r="H16" i="9"/>
  <c r="H15" i="9"/>
  <c r="G20" i="9"/>
  <c r="G18" i="9"/>
  <c r="G17" i="9"/>
  <c r="G16" i="9"/>
  <c r="G15" i="9"/>
  <c r="F20" i="9"/>
  <c r="F18" i="9"/>
  <c r="F17" i="9"/>
  <c r="F16" i="9"/>
  <c r="F15" i="9"/>
  <c r="D60" i="12"/>
  <c r="D62" i="11"/>
  <c r="G38" i="14"/>
  <c r="G37" i="14"/>
  <c r="G39" i="14" s="1"/>
  <c r="H8" i="14"/>
  <c r="I8" i="14" s="1"/>
  <c r="H7" i="14"/>
  <c r="I7" i="14" s="1"/>
  <c r="H11" i="14" s="1"/>
  <c r="G68" i="13"/>
  <c r="C67" i="13"/>
  <c r="G67" i="13" s="1"/>
  <c r="C66" i="13"/>
  <c r="G66" i="13" s="1"/>
  <c r="C65" i="13"/>
  <c r="G65" i="13" s="1"/>
  <c r="C64" i="13"/>
  <c r="G64" i="13" s="1"/>
  <c r="G62" i="13"/>
  <c r="G58" i="13"/>
  <c r="C57" i="13"/>
  <c r="G57" i="13" s="1"/>
  <c r="C56" i="13"/>
  <c r="G56" i="13" s="1"/>
  <c r="C55" i="13"/>
  <c r="G55" i="13" s="1"/>
  <c r="C54" i="13"/>
  <c r="G54" i="13" s="1"/>
  <c r="C53" i="13"/>
  <c r="G53" i="13" s="1"/>
  <c r="G51" i="13"/>
  <c r="G50" i="13"/>
  <c r="G49" i="13"/>
  <c r="L20" i="13"/>
  <c r="G20" i="13"/>
  <c r="L19" i="13"/>
  <c r="L18" i="13"/>
  <c r="G18" i="13"/>
  <c r="L17" i="13"/>
  <c r="G17" i="13"/>
  <c r="I17" i="13" s="1"/>
  <c r="L16" i="13"/>
  <c r="G16" i="13"/>
  <c r="L14" i="13"/>
  <c r="G14" i="13"/>
  <c r="I14" i="13" s="1"/>
  <c r="L13" i="13"/>
  <c r="L12" i="13"/>
  <c r="I12" i="13"/>
  <c r="L11" i="13"/>
  <c r="L10" i="13"/>
  <c r="I10" i="13"/>
  <c r="L9" i="13"/>
  <c r="H9" i="13"/>
  <c r="B120" i="12"/>
  <c r="B100" i="12"/>
  <c r="D68" i="12"/>
  <c r="D67" i="12"/>
  <c r="D66" i="12"/>
  <c r="D65" i="12"/>
  <c r="D64" i="12"/>
  <c r="D63" i="12"/>
  <c r="D62" i="12"/>
  <c r="D59" i="12"/>
  <c r="D58" i="12"/>
  <c r="D57" i="12"/>
  <c r="D56" i="12"/>
  <c r="D55" i="12"/>
  <c r="D51" i="12"/>
  <c r="D50" i="12"/>
  <c r="D49" i="12"/>
  <c r="D48" i="12"/>
  <c r="D44" i="12"/>
  <c r="D43" i="12"/>
  <c r="D42" i="12"/>
  <c r="D41" i="12"/>
  <c r="D40" i="12"/>
  <c r="D39" i="12"/>
  <c r="D38" i="12"/>
  <c r="D37" i="12"/>
  <c r="D36" i="12"/>
  <c r="E22" i="12"/>
  <c r="E21" i="12"/>
  <c r="E20" i="12"/>
  <c r="I9" i="13" l="1"/>
  <c r="I16" i="13"/>
  <c r="I18" i="13"/>
  <c r="I20" i="13"/>
  <c r="D45" i="12"/>
  <c r="D52" i="12"/>
  <c r="D69" i="12"/>
  <c r="C21" i="14"/>
  <c r="C22" i="14"/>
  <c r="C20" i="14"/>
  <c r="C19" i="14"/>
  <c r="C16" i="14"/>
  <c r="C30" i="14" s="1"/>
  <c r="C15" i="14"/>
  <c r="C26" i="14"/>
  <c r="L22" i="13"/>
  <c r="G69" i="13"/>
  <c r="G59" i="13"/>
  <c r="I11" i="13"/>
  <c r="G70" i="13" l="1"/>
  <c r="H23" i="13"/>
  <c r="C33" i="13" s="1"/>
  <c r="C32" i="14"/>
  <c r="H34" i="14" s="1"/>
  <c r="I44" i="14" s="1"/>
  <c r="K44" i="14" s="1"/>
  <c r="C32" i="13" l="1"/>
  <c r="C34" i="13"/>
  <c r="C27" i="13"/>
  <c r="C28" i="13"/>
  <c r="C42" i="13" s="1"/>
  <c r="C31" i="13"/>
  <c r="C38" i="13"/>
  <c r="C44" i="13" l="1"/>
  <c r="H46" i="13" s="1"/>
  <c r="C69" i="11"/>
  <c r="H7" i="10"/>
  <c r="H8" i="10"/>
  <c r="G64" i="9"/>
  <c r="G65" i="9"/>
  <c r="G49" i="9"/>
  <c r="G51" i="9"/>
  <c r="G52" i="9"/>
  <c r="G53" i="9"/>
  <c r="G54" i="9"/>
  <c r="D61" i="11" l="1"/>
  <c r="D60" i="11"/>
  <c r="C53" i="11"/>
  <c r="D53" i="11" s="1"/>
  <c r="B122" i="11"/>
  <c r="B102" i="11"/>
  <c r="D70" i="11"/>
  <c r="D69" i="11"/>
  <c r="D68" i="11"/>
  <c r="D67" i="11"/>
  <c r="D66" i="11"/>
  <c r="D65" i="11"/>
  <c r="D64" i="11"/>
  <c r="D59" i="11"/>
  <c r="D58" i="11"/>
  <c r="D57" i="11"/>
  <c r="D52" i="11"/>
  <c r="D51" i="11"/>
  <c r="D50" i="11"/>
  <c r="D49" i="11"/>
  <c r="D45" i="11"/>
  <c r="D42" i="11"/>
  <c r="D41" i="11"/>
  <c r="D40" i="11"/>
  <c r="D39" i="11"/>
  <c r="D38" i="11"/>
  <c r="D37" i="11"/>
  <c r="D36" i="11"/>
  <c r="E22" i="11"/>
  <c r="E21" i="11"/>
  <c r="E20" i="11"/>
  <c r="C19" i="9"/>
  <c r="C14" i="9"/>
  <c r="C10" i="9"/>
  <c r="C9" i="9"/>
  <c r="C8" i="9"/>
  <c r="G38" i="10"/>
  <c r="G37" i="10"/>
  <c r="I8" i="10"/>
  <c r="I7" i="10"/>
  <c r="G69" i="9"/>
  <c r="G68" i="9"/>
  <c r="G67" i="9"/>
  <c r="G66" i="9"/>
  <c r="G63" i="9"/>
  <c r="G59" i="9"/>
  <c r="G58" i="9"/>
  <c r="G57" i="9"/>
  <c r="G56" i="9"/>
  <c r="G55" i="9"/>
  <c r="G50" i="9"/>
  <c r="K20" i="9"/>
  <c r="K18" i="9"/>
  <c r="K17" i="9"/>
  <c r="K16" i="9"/>
  <c r="E23" i="11" l="1"/>
  <c r="E24" i="11" s="1"/>
  <c r="E26" i="11" s="1"/>
  <c r="K8" i="9"/>
  <c r="F8" i="9"/>
  <c r="K9" i="9"/>
  <c r="F9" i="9"/>
  <c r="K14" i="9"/>
  <c r="G14" i="9"/>
  <c r="F14" i="9"/>
  <c r="H14" i="9"/>
  <c r="K19" i="9"/>
  <c r="H19" i="9"/>
  <c r="F19" i="9"/>
  <c r="G19" i="9"/>
  <c r="K10" i="9"/>
  <c r="F10" i="9"/>
  <c r="K12" i="9"/>
  <c r="F12" i="9"/>
  <c r="I12" i="9" s="1"/>
  <c r="G39" i="10"/>
  <c r="I17" i="9"/>
  <c r="I20" i="9"/>
  <c r="D54" i="11"/>
  <c r="D46" i="11"/>
  <c r="D71" i="11"/>
  <c r="G70" i="9"/>
  <c r="I18" i="9"/>
  <c r="I16" i="9"/>
  <c r="I8" i="9"/>
  <c r="G60" i="9"/>
  <c r="H11" i="10"/>
  <c r="K22" i="9" l="1"/>
  <c r="G71" i="9"/>
  <c r="I10" i="9"/>
  <c r="I15" i="9"/>
  <c r="I19" i="9"/>
  <c r="C109" i="11"/>
  <c r="D109" i="11" s="1"/>
  <c r="D112" i="11" s="1"/>
  <c r="E124" i="11" s="1"/>
  <c r="C31" i="11"/>
  <c r="E33" i="11" s="1"/>
  <c r="E73" i="11" s="1"/>
  <c r="I9" i="9"/>
  <c r="I14" i="9"/>
  <c r="C26" i="10"/>
  <c r="C22" i="10"/>
  <c r="C20" i="10"/>
  <c r="C21" i="10"/>
  <c r="C19" i="10"/>
  <c r="C15" i="10"/>
  <c r="C16" i="10"/>
  <c r="C30" i="10" s="1"/>
  <c r="H23" i="9" l="1"/>
  <c r="C31" i="9" s="1"/>
  <c r="C77" i="11"/>
  <c r="D77" i="11" s="1"/>
  <c r="C86" i="11"/>
  <c r="D86" i="11" s="1"/>
  <c r="D89" i="11" s="1"/>
  <c r="C79" i="11"/>
  <c r="D79" i="11" s="1"/>
  <c r="C78" i="11"/>
  <c r="D78" i="11" s="1"/>
  <c r="C32" i="10"/>
  <c r="H34" i="10" s="1"/>
  <c r="C33" i="9" l="1"/>
  <c r="C32" i="9"/>
  <c r="C27" i="9"/>
  <c r="C28" i="9"/>
  <c r="C42" i="9" s="1"/>
  <c r="C38" i="9"/>
  <c r="C34" i="9"/>
  <c r="D81" i="11"/>
  <c r="E93" i="11" s="1"/>
  <c r="E104" i="11" s="1"/>
  <c r="E126" i="11" s="1"/>
  <c r="I46" i="10"/>
  <c r="I42" i="10"/>
  <c r="K42" i="10" s="1"/>
  <c r="C44" i="9" l="1"/>
  <c r="H46" i="9" s="1"/>
  <c r="E23" i="12" l="1"/>
  <c r="E24" i="12" s="1"/>
  <c r="E26" i="12" s="1"/>
  <c r="C107" i="12" l="1"/>
  <c r="D107" i="12" s="1"/>
  <c r="D110" i="12" s="1"/>
  <c r="E122" i="12" s="1"/>
  <c r="C31" i="12"/>
  <c r="E33" i="12" s="1"/>
  <c r="E71" i="12" s="1"/>
  <c r="C75" i="12" l="1"/>
  <c r="D75" i="12" s="1"/>
  <c r="C76" i="12"/>
  <c r="D76" i="12" s="1"/>
  <c r="C77" i="12"/>
  <c r="D77" i="12" s="1"/>
  <c r="C84" i="12"/>
  <c r="D84" i="12" s="1"/>
  <c r="D87" i="12" s="1"/>
  <c r="D79" i="12" l="1"/>
  <c r="E91" i="12" s="1"/>
  <c r="E102" i="12" s="1"/>
  <c r="E124" i="12" s="1"/>
</calcChain>
</file>

<file path=xl/sharedStrings.xml><?xml version="1.0" encoding="utf-8"?>
<sst xmlns="http://schemas.openxmlformats.org/spreadsheetml/2006/main" count="557" uniqueCount="163">
  <si>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</si>
  <si>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</si>
  <si>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</si>
  <si>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</si>
  <si>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</si>
  <si>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</si>
  <si>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</si>
  <si>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</si>
  <si>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</si>
  <si>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</si>
  <si>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</si>
  <si>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</si>
  <si>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</si>
  <si>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</si>
  <si>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</si>
  <si>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</si>
  <si>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</si>
  <si>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</si>
  <si>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</si>
  <si>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</si>
  <si>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</si>
  <si>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</si>
  <si>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</si>
  <si>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</si>
  <si>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</si>
  <si>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</si>
  <si>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</si>
  <si>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</si>
  <si>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</si>
  <si>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</si>
  <si>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</si>
  <si>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</si>
  <si>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</si>
  <si>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</si>
  <si>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</si>
  <si>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</si>
  <si>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</si>
  <si>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</si>
  <si>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</si>
  <si>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</si>
  <si>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</si>
  <si>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</si>
  <si>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</si>
  <si>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</si>
  <si>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</si>
  <si>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</si>
  <si>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</si>
  <si>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</si>
  <si>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</si>
  <si>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</si>
  <si>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</si>
  <si>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</si>
  <si>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</si>
  <si>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</si>
  <si>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</si>
  <si>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</si>
  <si>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</si>
  <si>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</si>
  <si>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</si>
  <si>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</si>
  <si>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</si>
  <si>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</si>
  <si>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</si>
  <si>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</si>
  <si>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</si>
  <si>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Pedreiro Refratarista</t>
  </si>
  <si>
    <t>Ajudante</t>
  </si>
  <si>
    <t>Exames Médicos</t>
  </si>
  <si>
    <t>Seguro de Acidentes Pessoais</t>
  </si>
  <si>
    <t>Cesta Básica</t>
  </si>
  <si>
    <t>Higienização de EPI´S</t>
  </si>
  <si>
    <t>vb</t>
  </si>
  <si>
    <t>Adm. Central e Gerenciamento</t>
  </si>
  <si>
    <t>Despesas Financeiras</t>
  </si>
  <si>
    <t>Lucro Operacional</t>
  </si>
  <si>
    <t>Provisão p/ IRPJ e CSLL</t>
  </si>
  <si>
    <t>Fardamento</t>
  </si>
  <si>
    <t>EPI's</t>
  </si>
  <si>
    <t>Aviso Prévio Indenizado</t>
  </si>
  <si>
    <t>Hospedagem</t>
  </si>
  <si>
    <t xml:space="preserve">Passagem </t>
  </si>
  <si>
    <t>Total</t>
  </si>
  <si>
    <t>lanche</t>
  </si>
  <si>
    <t>almoço</t>
  </si>
  <si>
    <t>Dias</t>
  </si>
  <si>
    <t>Qtd</t>
  </si>
  <si>
    <t>desjejum</t>
  </si>
  <si>
    <t>Total de M.O. + Encargos</t>
  </si>
  <si>
    <t>TOTAL  ENCARGOS</t>
  </si>
  <si>
    <t>50% (FGTS)</t>
  </si>
  <si>
    <t>Depósito por despedida</t>
  </si>
  <si>
    <t xml:space="preserve">D) Multa por Despedida </t>
  </si>
  <si>
    <t>Reincidência de "A"  x "B"</t>
  </si>
  <si>
    <t xml:space="preserve">C) Taxa das Reincidências </t>
  </si>
  <si>
    <t>Aviso Prévio Idenizado</t>
  </si>
  <si>
    <t>Auxílio Doença</t>
  </si>
  <si>
    <t>Férias</t>
  </si>
  <si>
    <t>13º Salário</t>
  </si>
  <si>
    <t xml:space="preserve">B) Encargos Esporádicos </t>
  </si>
  <si>
    <t>FGTS</t>
  </si>
  <si>
    <t>INSS Empresa</t>
  </si>
  <si>
    <t>A) Encargos Básicos</t>
  </si>
  <si>
    <t>Valor Mensal</t>
  </si>
  <si>
    <t>% Encargos</t>
  </si>
  <si>
    <t>Encargos Sociais</t>
  </si>
  <si>
    <t xml:space="preserve">1.2 Encargos Sociais </t>
  </si>
  <si>
    <t>Total Salários</t>
  </si>
  <si>
    <r>
      <t>BASE: MAIO</t>
    </r>
    <r>
      <rPr>
        <sz val="10"/>
        <rFont val="Arial"/>
        <family val="2"/>
      </rPr>
      <t>/ 2019</t>
    </r>
  </si>
  <si>
    <t>Total
 Parcial (R$)</t>
  </si>
  <si>
    <t>Hora Normal</t>
  </si>
  <si>
    <t>Adc. Noturno</t>
  </si>
  <si>
    <t>Hora Extra</t>
  </si>
  <si>
    <t>Periculosidade</t>
  </si>
  <si>
    <t>Regime de
 Trabalho</t>
  </si>
  <si>
    <t>Salário
 Básico (R$)</t>
  </si>
  <si>
    <t>Quantidade</t>
  </si>
  <si>
    <t xml:space="preserve">1.1 Salários </t>
  </si>
  <si>
    <t>Alimentação</t>
  </si>
  <si>
    <t>Coordenador</t>
  </si>
  <si>
    <t>Supervisor</t>
  </si>
  <si>
    <t>Encarregado</t>
  </si>
  <si>
    <t>Cortador</t>
  </si>
  <si>
    <t>Almoxarife</t>
  </si>
  <si>
    <t>Obs. Segurança</t>
  </si>
  <si>
    <t>COMPOSIÇÃO DE PREÇOS- Forno Refino e Incinerador (2 turnos)</t>
  </si>
  <si>
    <t>premio parada</t>
  </si>
  <si>
    <t>Mão-de-Obra Indireta</t>
  </si>
  <si>
    <t>Téc. de Planejamento</t>
  </si>
  <si>
    <t>Téc. de Segurança</t>
  </si>
  <si>
    <t>Mão-de-Obra Direta</t>
  </si>
  <si>
    <t>11x11</t>
  </si>
  <si>
    <t>11x10</t>
  </si>
  <si>
    <t>Abastecimento</t>
  </si>
  <si>
    <t>11x12</t>
  </si>
  <si>
    <t>Planejamento</t>
  </si>
  <si>
    <t xml:space="preserve">Misturador de Concreto </t>
  </si>
  <si>
    <t>Máquina Policort</t>
  </si>
  <si>
    <t>Disco Máquina Policorte</t>
  </si>
  <si>
    <t>Rádios</t>
  </si>
  <si>
    <t>Vibrador</t>
  </si>
  <si>
    <t>Robo Brokk</t>
  </si>
  <si>
    <t>Ferramentas</t>
  </si>
  <si>
    <t>Iluminaçao</t>
  </si>
  <si>
    <t>Apoio Eletricista</t>
  </si>
  <si>
    <t>Sistema de Travamento dos tijolos do Cilindro</t>
  </si>
  <si>
    <t>Catação</t>
  </si>
  <si>
    <t>Prémio parada</t>
  </si>
  <si>
    <t>7. Itens sem incidência de custos indiretos:</t>
  </si>
  <si>
    <t>8.Tributos Incidentes sobre o Item 7.</t>
  </si>
  <si>
    <t>9. Valor Total do Item 7. (R$)</t>
  </si>
  <si>
    <t>Abasteciemento</t>
  </si>
  <si>
    <t>Martelete</t>
  </si>
  <si>
    <t>Ponteira de Martelete</t>
  </si>
  <si>
    <t>prêmio parada</t>
  </si>
  <si>
    <t>185/0/2019 à 30/09/2019</t>
  </si>
  <si>
    <t>Cadeado Bloqueio</t>
  </si>
  <si>
    <t>Capacitação (ART, PT, Riscos críticos e TB, NR 10, 33 e 35</t>
  </si>
  <si>
    <t>Toldo</t>
  </si>
  <si>
    <t>Container</t>
  </si>
  <si>
    <t>Administrativo</t>
  </si>
  <si>
    <t>Adm</t>
  </si>
  <si>
    <t>valor 2019</t>
  </si>
  <si>
    <t>Capacitação (ART, PT, Riscos críticos e TBS, NR 10, 33 e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</si>
</sst>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"/>
    <numFmt numFmtId="167" formatCode="0.0%"/>
    <numFmt numFmtId="168" formatCode="&quot;R$&quot;\ #,##0.00"/>
    <numFmt numFmtId="169" formatCode="_(&quot;R$&quot;* #,##0.00_);_(&quot;R$&quot;* \(#,##0.00\);_(&quot;R$&quot;* &quot;-&quot;??_);_(@_)"/>
    <numFmt numFmtId="170" formatCode="&quot;R$&quot;#,##0.00"/>
    <numFmt numFmtId="171" formatCode="0.00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8"/>
      <name val="Calibri"/>
      <family val="2"/>
      <scheme val="minor"/>
    </font>
    <font>
      <sz val="12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lightGray">
        <fgColor theme="0"/>
      </patternFill>
    </fill>
    <fill>
      <patternFill patternType="solid">
        <fgColor rgb="FFFFFF00"/>
        <bgColor indexed="64"/>
      </patternFill>
    </fill>
    <fill>
      <patternFill patternType="lightGray">
        <fgColor indexed="27"/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1"/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/>
    </xf>
    <xf numFmtId="0" fontId="2" fillId="0" borderId="11" xfId="3" applyNumberFormat="1" applyFont="1" applyBorder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horizontal="left"/>
    </xf>
    <xf numFmtId="0" fontId="2" fillId="0" borderId="0" xfId="1" applyFont="1"/>
    <xf numFmtId="0" fontId="7" fillId="0" borderId="0" xfId="1" applyFont="1"/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justify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vertical="center"/>
    </xf>
    <xf numFmtId="0" fontId="2" fillId="5" borderId="0" xfId="1" applyFont="1" applyFill="1" applyAlignment="1">
      <alignment horizontal="left"/>
    </xf>
    <xf numFmtId="0" fontId="2" fillId="5" borderId="4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0" fontId="2" fillId="5" borderId="5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165" fontId="2" fillId="0" borderId="7" xfId="1" applyNumberFormat="1" applyFont="1" applyBorder="1" applyAlignment="1" applyProtection="1">
      <alignment vertical="center"/>
      <protection locked="0"/>
    </xf>
    <xf numFmtId="165" fontId="2" fillId="0" borderId="13" xfId="3" applyFont="1" applyBorder="1" applyAlignment="1" applyProtection="1">
      <alignment horizontal="center" vertical="center"/>
    </xf>
    <xf numFmtId="0" fontId="1" fillId="0" borderId="10" xfId="1" applyBorder="1"/>
    <xf numFmtId="0" fontId="2" fillId="5" borderId="5" xfId="1" applyFont="1" applyFill="1" applyBorder="1" applyAlignment="1">
      <alignment horizontal="right" vertical="center"/>
    </xf>
    <xf numFmtId="10" fontId="2" fillId="5" borderId="4" xfId="2" applyNumberFormat="1" applyFont="1" applyFill="1" applyBorder="1" applyAlignment="1" applyProtection="1">
      <alignment vertical="center"/>
    </xf>
    <xf numFmtId="0" fontId="2" fillId="3" borderId="7" xfId="1" applyFont="1" applyFill="1" applyBorder="1" applyAlignment="1">
      <alignment horizontal="center" vertical="center" wrapText="1"/>
    </xf>
    <xf numFmtId="165" fontId="2" fillId="5" borderId="4" xfId="2" applyNumberFormat="1" applyFont="1" applyFill="1" applyBorder="1" applyAlignment="1" applyProtection="1">
      <alignment vertical="center"/>
    </xf>
    <xf numFmtId="0" fontId="2" fillId="7" borderId="4" xfId="1" applyFont="1" applyFill="1" applyBorder="1" applyAlignment="1">
      <alignment horizontal="right" vertical="center"/>
    </xf>
    <xf numFmtId="0" fontId="2" fillId="8" borderId="4" xfId="1" applyFont="1" applyFill="1" applyBorder="1" applyAlignment="1">
      <alignment horizontal="right" vertical="center"/>
    </xf>
    <xf numFmtId="0" fontId="9" fillId="0" borderId="0" xfId="1" applyFont="1"/>
    <xf numFmtId="0" fontId="2" fillId="7" borderId="5" xfId="1" applyFont="1" applyFill="1" applyBorder="1" applyAlignment="1">
      <alignment vertical="center"/>
    </xf>
    <xf numFmtId="0" fontId="2" fillId="7" borderId="6" xfId="1" applyFont="1" applyFill="1" applyBorder="1" applyAlignment="1">
      <alignment vertical="center"/>
    </xf>
    <xf numFmtId="0" fontId="2" fillId="7" borderId="7" xfId="1" applyFont="1" applyFill="1" applyBorder="1" applyAlignment="1">
      <alignment vertical="center"/>
    </xf>
    <xf numFmtId="165" fontId="2" fillId="7" borderId="4" xfId="3" applyFont="1" applyFill="1" applyBorder="1" applyAlignment="1" applyProtection="1">
      <alignment vertical="center"/>
    </xf>
    <xf numFmtId="165" fontId="1" fillId="4" borderId="9" xfId="3" applyFont="1" applyFill="1" applyBorder="1" applyAlignment="1" applyProtection="1">
      <alignment horizontal="center"/>
      <protection locked="0"/>
    </xf>
    <xf numFmtId="165" fontId="1" fillId="3" borderId="13" xfId="3" applyFont="1" applyFill="1" applyBorder="1" applyAlignment="1" applyProtection="1">
      <alignment horizontal="center"/>
    </xf>
    <xf numFmtId="165" fontId="1" fillId="3" borderId="8" xfId="3" applyFont="1" applyFill="1" applyBorder="1" applyAlignment="1" applyProtection="1">
      <alignment horizontal="center"/>
    </xf>
    <xf numFmtId="165" fontId="1" fillId="3" borderId="9" xfId="3" applyFont="1" applyFill="1" applyBorder="1" applyAlignment="1" applyProtection="1">
      <alignment horizontal="center"/>
    </xf>
    <xf numFmtId="165" fontId="1" fillId="3" borderId="17" xfId="3" applyFont="1" applyFill="1" applyBorder="1" applyAlignment="1" applyProtection="1">
      <alignment horizontal="center"/>
    </xf>
    <xf numFmtId="165" fontId="1" fillId="3" borderId="14" xfId="3" applyFont="1" applyFill="1" applyBorder="1" applyAlignment="1" applyProtection="1">
      <alignment horizontal="center"/>
    </xf>
    <xf numFmtId="44" fontId="2" fillId="2" borderId="4" xfId="4" applyFont="1" applyFill="1" applyBorder="1" applyAlignment="1">
      <alignment horizontal="left"/>
    </xf>
    <xf numFmtId="0" fontId="2" fillId="9" borderId="0" xfId="1" applyFont="1" applyFill="1" applyAlignment="1">
      <alignment horizontal="left" vertical="center"/>
    </xf>
    <xf numFmtId="0" fontId="2" fillId="9" borderId="0" xfId="1" applyFont="1" applyFill="1" applyAlignment="1">
      <alignment horizontal="left"/>
    </xf>
    <xf numFmtId="0" fontId="0" fillId="9" borderId="0" xfId="0" applyFill="1"/>
    <xf numFmtId="165" fontId="3" fillId="9" borderId="0" xfId="3" applyFont="1" applyFill="1" applyBorder="1" applyAlignment="1" applyProtection="1">
      <alignment vertical="center"/>
    </xf>
    <xf numFmtId="44" fontId="2" fillId="9" borderId="0" xfId="4" applyFont="1" applyFill="1" applyBorder="1" applyAlignment="1">
      <alignment horizontal="left"/>
    </xf>
    <xf numFmtId="165" fontId="1" fillId="3" borderId="1" xfId="3" applyFont="1" applyFill="1" applyBorder="1" applyAlignment="1" applyProtection="1">
      <alignment horizontal="center"/>
    </xf>
    <xf numFmtId="0" fontId="11" fillId="0" borderId="0" xfId="0" applyFont="1"/>
    <xf numFmtId="0" fontId="1" fillId="0" borderId="0" xfId="0" applyFont="1"/>
    <xf numFmtId="44" fontId="1" fillId="0" borderId="4" xfId="4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Border="1" applyAlignment="1">
      <alignment horizontal="center"/>
    </xf>
    <xf numFmtId="167" fontId="11" fillId="0" borderId="0" xfId="6" applyNumberFormat="1" applyFont="1" applyAlignment="1">
      <alignment horizontal="right"/>
    </xf>
    <xf numFmtId="165" fontId="11" fillId="0" borderId="0" xfId="0" applyNumberFormat="1" applyFont="1"/>
    <xf numFmtId="168" fontId="1" fillId="0" borderId="0" xfId="0" applyNumberFormat="1" applyFont="1"/>
    <xf numFmtId="0" fontId="2" fillId="0" borderId="0" xfId="0" applyFont="1" applyAlignment="1">
      <alignment horizontal="right" vertical="center"/>
    </xf>
    <xf numFmtId="9" fontId="1" fillId="0" borderId="0" xfId="6" applyFont="1" applyFill="1" applyBorder="1" applyAlignment="1">
      <alignment horizontal="center"/>
    </xf>
    <xf numFmtId="10" fontId="1" fillId="0" borderId="0" xfId="6" applyNumberFormat="1" applyFont="1" applyFill="1" applyBorder="1" applyAlignment="1">
      <alignment horizontal="center"/>
    </xf>
    <xf numFmtId="49" fontId="2" fillId="0" borderId="0" xfId="6" applyNumberFormat="1" applyFont="1" applyFill="1" applyBorder="1" applyAlignment="1">
      <alignment horizontal="left"/>
    </xf>
    <xf numFmtId="169" fontId="2" fillId="5" borderId="4" xfId="4" applyNumberFormat="1" applyFont="1" applyFill="1" applyBorder="1" applyAlignment="1">
      <alignment horizontal="center" vertical="center"/>
    </xf>
    <xf numFmtId="165" fontId="1" fillId="3" borderId="25" xfId="0" applyNumberFormat="1" applyFont="1" applyFill="1" applyBorder="1" applyAlignment="1">
      <alignment horizontal="center"/>
    </xf>
    <xf numFmtId="10" fontId="1" fillId="10" borderId="14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/>
    <xf numFmtId="169" fontId="1" fillId="3" borderId="26" xfId="4" applyNumberFormat="1" applyFont="1" applyFill="1" applyBorder="1" applyAlignment="1">
      <alignment horizontal="center"/>
    </xf>
    <xf numFmtId="10" fontId="1" fillId="10" borderId="9" xfId="0" applyNumberFormat="1" applyFont="1" applyFill="1" applyBorder="1" applyAlignment="1" applyProtection="1">
      <alignment horizontal="center"/>
      <protection locked="0"/>
    </xf>
    <xf numFmtId="0" fontId="1" fillId="11" borderId="9" xfId="0" applyFont="1" applyFill="1" applyBorder="1"/>
    <xf numFmtId="169" fontId="2" fillId="3" borderId="26" xfId="4" applyNumberFormat="1" applyFont="1" applyFill="1" applyBorder="1" applyAlignment="1">
      <alignment horizontal="center"/>
    </xf>
    <xf numFmtId="10" fontId="2" fillId="10" borderId="9" xfId="0" applyNumberFormat="1" applyFont="1" applyFill="1" applyBorder="1" applyAlignment="1" applyProtection="1">
      <alignment horizontal="center"/>
      <protection locked="0"/>
    </xf>
    <xf numFmtId="0" fontId="2" fillId="11" borderId="9" xfId="0" applyFont="1" applyFill="1" applyBorder="1"/>
    <xf numFmtId="10" fontId="1" fillId="0" borderId="26" xfId="6" applyNumberFormat="1" applyFont="1" applyFill="1" applyBorder="1" applyAlignment="1">
      <alignment horizontal="center"/>
    </xf>
    <xf numFmtId="165" fontId="2" fillId="3" borderId="26" xfId="0" applyNumberFormat="1" applyFont="1" applyFill="1" applyBorder="1" applyAlignment="1">
      <alignment horizontal="center"/>
    </xf>
    <xf numFmtId="165" fontId="1" fillId="3" borderId="26" xfId="0" applyNumberFormat="1" applyFont="1" applyFill="1" applyBorder="1" applyAlignment="1">
      <alignment horizontal="center"/>
    </xf>
    <xf numFmtId="168" fontId="3" fillId="0" borderId="0" xfId="0" applyNumberFormat="1" applyFont="1"/>
    <xf numFmtId="165" fontId="2" fillId="3" borderId="27" xfId="0" applyNumberFormat="1" applyFont="1" applyFill="1" applyBorder="1" applyAlignment="1">
      <alignment horizontal="center"/>
    </xf>
    <xf numFmtId="10" fontId="2" fillId="10" borderId="8" xfId="0" applyNumberFormat="1" applyFont="1" applyFill="1" applyBorder="1" applyAlignment="1" applyProtection="1">
      <alignment horizontal="center"/>
      <protection locked="0"/>
    </xf>
    <xf numFmtId="0" fontId="2" fillId="11" borderId="8" xfId="0" applyFont="1" applyFill="1" applyBorder="1"/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165" fontId="2" fillId="0" borderId="0" xfId="5" applyNumberFormat="1" applyFont="1" applyBorder="1" applyAlignment="1">
      <alignment horizontal="center"/>
    </xf>
    <xf numFmtId="0" fontId="2" fillId="0" borderId="0" xfId="5" applyNumberFormat="1" applyFont="1" applyBorder="1" applyAlignment="1">
      <alignment horizontal="center" vertical="center"/>
    </xf>
    <xf numFmtId="165" fontId="1" fillId="0" borderId="18" xfId="5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169" fontId="1" fillId="3" borderId="9" xfId="4" applyNumberFormat="1" applyFont="1" applyFill="1" applyBorder="1" applyAlignment="1">
      <alignment horizontal="center" vertical="center"/>
    </xf>
    <xf numFmtId="169" fontId="1" fillId="0" borderId="9" xfId="4" applyNumberFormat="1" applyFont="1" applyFill="1" applyBorder="1" applyAlignment="1" applyProtection="1">
      <alignment horizontal="center" vertic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2" fontId="0" fillId="9" borderId="9" xfId="0" applyNumberFormat="1" applyFill="1" applyBorder="1"/>
    <xf numFmtId="0" fontId="0" fillId="9" borderId="9" xfId="0" applyFill="1" applyBorder="1"/>
    <xf numFmtId="0" fontId="2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5" borderId="0" xfId="0" applyFont="1" applyFill="1" applyAlignment="1">
      <alignment horizontal="left"/>
    </xf>
    <xf numFmtId="0" fontId="12" fillId="5" borderId="0" xfId="0" applyFont="1" applyFill="1" applyAlignment="1">
      <alignment horizontal="left"/>
    </xf>
    <xf numFmtId="0" fontId="13" fillId="5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" fillId="4" borderId="13" xfId="1" applyFill="1" applyBorder="1" applyAlignment="1" applyProtection="1">
      <alignment vertical="center"/>
      <protection locked="0"/>
    </xf>
    <xf numFmtId="0" fontId="1" fillId="4" borderId="13" xfId="1" applyFill="1" applyBorder="1" applyAlignment="1" applyProtection="1">
      <alignment horizontal="center"/>
      <protection locked="0"/>
    </xf>
    <xf numFmtId="0" fontId="1" fillId="4" borderId="14" xfId="3" applyNumberFormat="1" applyFont="1" applyFill="1" applyBorder="1" applyAlignment="1" applyProtection="1">
      <alignment horizontal="center" vertical="center"/>
      <protection locked="0"/>
    </xf>
    <xf numFmtId="0" fontId="1" fillId="4" borderId="13" xfId="3" applyNumberFormat="1" applyFont="1" applyFill="1" applyBorder="1" applyAlignment="1" applyProtection="1">
      <alignment horizontal="center" vertical="center"/>
      <protection locked="0"/>
    </xf>
    <xf numFmtId="11" fontId="14" fillId="0" borderId="8" xfId="0" applyNumberFormat="1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165" fontId="1" fillId="0" borderId="29" xfId="5" applyNumberFormat="1" applyFont="1" applyFill="1" applyBorder="1" applyAlignment="1" applyProtection="1">
      <alignment horizontal="center" wrapText="1"/>
      <protection locked="0"/>
    </xf>
    <xf numFmtId="0" fontId="1" fillId="0" borderId="29" xfId="5" applyNumberFormat="1" applyFont="1" applyFill="1" applyBorder="1" applyAlignment="1" applyProtection="1">
      <alignment horizontal="center" vertical="center"/>
      <protection locked="0"/>
    </xf>
    <xf numFmtId="165" fontId="2" fillId="3" borderId="30" xfId="5" applyNumberFormat="1" applyFont="1" applyFill="1" applyBorder="1" applyAlignment="1">
      <alignment horizontal="center" vertical="center"/>
    </xf>
    <xf numFmtId="167" fontId="1" fillId="0" borderId="0" xfId="6" applyNumberFormat="1" applyFont="1"/>
    <xf numFmtId="11" fontId="1" fillId="0" borderId="9" xfId="0" applyNumberFormat="1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0" fillId="9" borderId="31" xfId="0" applyNumberFormat="1" applyFill="1" applyBorder="1"/>
    <xf numFmtId="0" fontId="1" fillId="0" borderId="31" xfId="5" applyNumberFormat="1" applyFont="1" applyFill="1" applyBorder="1" applyAlignment="1" applyProtection="1">
      <alignment horizontal="center" vertical="center"/>
      <protection locked="0"/>
    </xf>
    <xf numFmtId="169" fontId="1" fillId="0" borderId="31" xfId="4" applyNumberFormat="1" applyFont="1" applyFill="1" applyBorder="1" applyAlignment="1" applyProtection="1">
      <alignment horizontal="center" vertical="center"/>
      <protection locked="0"/>
    </xf>
    <xf numFmtId="169" fontId="1" fillId="9" borderId="31" xfId="4" applyNumberFormat="1" applyFont="1" applyFill="1" applyBorder="1" applyAlignment="1" applyProtection="1">
      <alignment horizontal="center" vertical="center"/>
      <protection locked="0"/>
    </xf>
    <xf numFmtId="169" fontId="1" fillId="3" borderId="32" xfId="4" applyNumberFormat="1" applyFont="1" applyFill="1" applyBorder="1" applyAlignment="1">
      <alignment horizontal="center" vertical="center"/>
    </xf>
    <xf numFmtId="170" fontId="0" fillId="0" borderId="0" xfId="0" applyNumberFormat="1"/>
    <xf numFmtId="0" fontId="1" fillId="0" borderId="33" xfId="0" applyFont="1" applyBorder="1" applyAlignment="1" applyProtection="1">
      <alignment horizontal="center"/>
      <protection locked="0"/>
    </xf>
    <xf numFmtId="0" fontId="1" fillId="0" borderId="35" xfId="5" applyNumberFormat="1" applyFont="1" applyFill="1" applyBorder="1" applyAlignment="1" applyProtection="1">
      <alignment horizontal="center" vertical="center"/>
      <protection locked="0"/>
    </xf>
    <xf numFmtId="169" fontId="1" fillId="0" borderId="34" xfId="4" applyNumberFormat="1" applyFont="1" applyFill="1" applyBorder="1" applyAlignment="1" applyProtection="1">
      <alignment horizontal="center" vertical="center"/>
      <protection locked="0"/>
    </xf>
    <xf numFmtId="169" fontId="1" fillId="3" borderId="36" xfId="4" applyNumberFormat="1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/>
      <protection locked="0"/>
    </xf>
    <xf numFmtId="2" fontId="1" fillId="9" borderId="13" xfId="4" applyNumberFormat="1" applyFont="1" applyFill="1" applyBorder="1" applyAlignment="1" applyProtection="1">
      <alignment horizontal="center" wrapText="1"/>
      <protection locked="0"/>
    </xf>
    <xf numFmtId="0" fontId="1" fillId="0" borderId="8" xfId="5" applyNumberFormat="1" applyFont="1" applyFill="1" applyBorder="1" applyAlignment="1" applyProtection="1">
      <alignment horizontal="center" vertical="center"/>
      <protection locked="0"/>
    </xf>
    <xf numFmtId="169" fontId="1" fillId="0" borderId="13" xfId="4" applyNumberFormat="1" applyFont="1" applyFill="1" applyBorder="1" applyAlignment="1" applyProtection="1">
      <alignment horizontal="center" vertical="center"/>
      <protection locked="0"/>
    </xf>
    <xf numFmtId="169" fontId="1" fillId="9" borderId="13" xfId="4" applyNumberFormat="1" applyFont="1" applyFill="1" applyBorder="1" applyAlignment="1" applyProtection="1">
      <alignment horizontal="center" vertical="center"/>
      <protection locked="0"/>
    </xf>
    <xf numFmtId="169" fontId="1" fillId="3" borderId="13" xfId="4" applyNumberFormat="1" applyFont="1" applyFill="1" applyBorder="1" applyAlignment="1">
      <alignment horizontal="center" vertical="center"/>
    </xf>
    <xf numFmtId="0" fontId="1" fillId="0" borderId="19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1" fillId="9" borderId="9" xfId="4" applyNumberFormat="1" applyFont="1" applyFill="1" applyBorder="1" applyAlignment="1" applyProtection="1">
      <alignment horizontal="right" wrapTex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5" fontId="2" fillId="0" borderId="0" xfId="0" applyNumberFormat="1" applyFont="1"/>
    <xf numFmtId="44" fontId="2" fillId="13" borderId="0" xfId="4" applyFont="1" applyFill="1"/>
    <xf numFmtId="165" fontId="1" fillId="0" borderId="0" xfId="0" applyNumberFormat="1" applyFont="1" applyAlignment="1">
      <alignment horizontal="center"/>
    </xf>
    <xf numFmtId="10" fontId="1" fillId="0" borderId="9" xfId="0" applyNumberFormat="1" applyFont="1" applyBorder="1" applyAlignment="1" applyProtection="1">
      <alignment horizontal="center"/>
      <protection locked="0"/>
    </xf>
    <xf numFmtId="10" fontId="1" fillId="0" borderId="0" xfId="0" applyNumberFormat="1" applyFont="1" applyAlignment="1">
      <alignment horizontal="center"/>
    </xf>
    <xf numFmtId="10" fontId="2" fillId="0" borderId="9" xfId="0" applyNumberFormat="1" applyFont="1" applyBorder="1" applyAlignment="1" applyProtection="1">
      <alignment horizontal="center"/>
      <protection locked="0"/>
    </xf>
    <xf numFmtId="0" fontId="15" fillId="0" borderId="0" xfId="0" applyFont="1"/>
    <xf numFmtId="0" fontId="11" fillId="0" borderId="4" xfId="0" applyFont="1" applyBorder="1" applyAlignment="1">
      <alignment horizontal="right"/>
    </xf>
    <xf numFmtId="169" fontId="1" fillId="9" borderId="0" xfId="4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right"/>
    </xf>
    <xf numFmtId="44" fontId="2" fillId="0" borderId="0" xfId="0" applyNumberFormat="1" applyFont="1"/>
    <xf numFmtId="44" fontId="2" fillId="13" borderId="0" xfId="0" applyNumberFormat="1" applyFont="1" applyFill="1"/>
    <xf numFmtId="169" fontId="1" fillId="9" borderId="9" xfId="4" applyNumberFormat="1" applyFont="1" applyFill="1" applyBorder="1" applyAlignment="1" applyProtection="1">
      <alignment horizontal="center" vertical="center"/>
      <protection locked="0"/>
    </xf>
    <xf numFmtId="164" fontId="2" fillId="13" borderId="0" xfId="0" applyNumberFormat="1" applyFont="1" applyFill="1"/>
    <xf numFmtId="164" fontId="1" fillId="0" borderId="0" xfId="0" applyNumberFormat="1" applyFont="1"/>
    <xf numFmtId="2" fontId="0" fillId="9" borderId="34" xfId="0" applyNumberFormat="1" applyFill="1" applyBorder="1"/>
    <xf numFmtId="165" fontId="1" fillId="4" borderId="13" xfId="3" applyFont="1" applyFill="1" applyBorder="1" applyAlignment="1" applyProtection="1">
      <alignment horizontal="center" wrapText="1"/>
      <protection locked="0"/>
    </xf>
    <xf numFmtId="165" fontId="1" fillId="3" borderId="13" xfId="3" applyFont="1" applyFill="1" applyBorder="1" applyAlignment="1" applyProtection="1">
      <alignment horizontal="center" vertical="center"/>
    </xf>
    <xf numFmtId="165" fontId="1" fillId="3" borderId="14" xfId="3" applyFont="1" applyFill="1" applyBorder="1" applyAlignment="1" applyProtection="1">
      <alignment horizontal="center" vertical="center"/>
    </xf>
    <xf numFmtId="0" fontId="1" fillId="0" borderId="6" xfId="1" applyBorder="1" applyAlignment="1">
      <alignment horizontal="center"/>
    </xf>
    <xf numFmtId="165" fontId="1" fillId="0" borderId="6" xfId="3" applyFont="1" applyFill="1" applyBorder="1" applyAlignment="1" applyProtection="1">
      <alignment horizontal="center" wrapText="1"/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1" fillId="0" borderId="6" xfId="1" applyBorder="1" applyProtection="1">
      <protection locked="0"/>
    </xf>
    <xf numFmtId="165" fontId="2" fillId="0" borderId="4" xfId="1" applyNumberFormat="1" applyFont="1" applyBorder="1" applyAlignment="1">
      <alignment vertical="center"/>
    </xf>
    <xf numFmtId="165" fontId="2" fillId="0" borderId="0" xfId="1" applyNumberFormat="1" applyFont="1"/>
    <xf numFmtId="165" fontId="2" fillId="7" borderId="4" xfId="1" applyNumberFormat="1" applyFont="1" applyFill="1" applyBorder="1" applyAlignment="1">
      <alignment horizontal="right" vertical="center"/>
    </xf>
    <xf numFmtId="0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0" fontId="2" fillId="0" borderId="0" xfId="1" applyFont="1" applyAlignment="1">
      <alignment horizontal="right" vertical="center"/>
    </xf>
    <xf numFmtId="0" fontId="1" fillId="7" borderId="4" xfId="1" applyFill="1" applyBorder="1"/>
    <xf numFmtId="165" fontId="2" fillId="8" borderId="7" xfId="1" applyNumberFormat="1" applyFont="1" applyFill="1" applyBorder="1" applyAlignment="1">
      <alignment horizontal="right" vertical="center"/>
    </xf>
    <xf numFmtId="10" fontId="1" fillId="4" borderId="9" xfId="1" applyNumberFormat="1" applyFill="1" applyBorder="1" applyAlignment="1" applyProtection="1">
      <alignment horizontal="left"/>
      <protection locked="0"/>
    </xf>
    <xf numFmtId="0" fontId="1" fillId="4" borderId="9" xfId="1" applyFill="1" applyBorder="1" applyAlignment="1" applyProtection="1">
      <alignment horizontal="center"/>
      <protection locked="0"/>
    </xf>
    <xf numFmtId="165" fontId="1" fillId="3" borderId="9" xfId="1" applyNumberFormat="1" applyFill="1" applyBorder="1" applyAlignment="1">
      <alignment horizontal="center"/>
    </xf>
    <xf numFmtId="10" fontId="1" fillId="4" borderId="14" xfId="1" applyNumberFormat="1" applyFill="1" applyBorder="1" applyAlignment="1" applyProtection="1">
      <alignment horizontal="left"/>
      <protection locked="0"/>
    </xf>
    <xf numFmtId="0" fontId="1" fillId="4" borderId="14" xfId="1" applyFill="1" applyBorder="1" applyAlignment="1" applyProtection="1">
      <alignment horizontal="center"/>
      <protection locked="0"/>
    </xf>
    <xf numFmtId="165" fontId="1" fillId="3" borderId="14" xfId="1" applyNumberFormat="1" applyFill="1" applyBorder="1" applyAlignment="1">
      <alignment horizontal="center"/>
    </xf>
    <xf numFmtId="0" fontId="1" fillId="0" borderId="0" xfId="1" applyAlignment="1">
      <alignment horizontal="right"/>
    </xf>
    <xf numFmtId="0" fontId="2" fillId="5" borderId="1" xfId="1" applyFont="1" applyFill="1" applyBorder="1" applyAlignment="1">
      <alignment horizontal="right" vertical="center"/>
    </xf>
    <xf numFmtId="165" fontId="2" fillId="5" borderId="37" xfId="1" applyNumberFormat="1" applyFont="1" applyFill="1" applyBorder="1" applyAlignment="1">
      <alignment horizontal="right" vertical="center"/>
    </xf>
    <xf numFmtId="0" fontId="1" fillId="0" borderId="12" xfId="1" applyBorder="1"/>
    <xf numFmtId="0" fontId="1" fillId="4" borderId="15" xfId="1" applyFill="1" applyBorder="1" applyAlignment="1" applyProtection="1">
      <alignment horizontal="center"/>
      <protection locked="0"/>
    </xf>
    <xf numFmtId="165" fontId="1" fillId="3" borderId="20" xfId="1" applyNumberFormat="1" applyFill="1" applyBorder="1" applyAlignment="1">
      <alignment horizontal="center"/>
    </xf>
    <xf numFmtId="0" fontId="1" fillId="0" borderId="19" xfId="1" applyBorder="1"/>
    <xf numFmtId="165" fontId="1" fillId="3" borderId="19" xfId="1" applyNumberFormat="1" applyFill="1" applyBorder="1" applyAlignment="1">
      <alignment horizontal="center"/>
    </xf>
    <xf numFmtId="0" fontId="1" fillId="0" borderId="9" xfId="1" applyBorder="1"/>
    <xf numFmtId="0" fontId="1" fillId="4" borderId="19" xfId="1" applyFill="1" applyBorder="1" applyAlignment="1" applyProtection="1">
      <alignment horizontal="center"/>
      <protection locked="0"/>
    </xf>
    <xf numFmtId="0" fontId="1" fillId="0" borderId="14" xfId="1" applyBorder="1"/>
    <xf numFmtId="0" fontId="1" fillId="0" borderId="3" xfId="1" applyBorder="1"/>
    <xf numFmtId="0" fontId="1" fillId="0" borderId="3" xfId="1" applyBorder="1" applyProtection="1">
      <protection locked="0"/>
    </xf>
    <xf numFmtId="0" fontId="1" fillId="5" borderId="7" xfId="1" applyFill="1" applyBorder="1" applyAlignment="1">
      <alignment vertical="center"/>
    </xf>
    <xf numFmtId="165" fontId="2" fillId="5" borderId="7" xfId="1" applyNumberFormat="1" applyFont="1" applyFill="1" applyBorder="1" applyAlignment="1">
      <alignment horizontal="right" vertical="center"/>
    </xf>
    <xf numFmtId="10" fontId="1" fillId="4" borderId="8" xfId="1" applyNumberFormat="1" applyFill="1" applyBorder="1" applyAlignment="1" applyProtection="1">
      <alignment horizontal="center"/>
      <protection locked="0"/>
    </xf>
    <xf numFmtId="10" fontId="1" fillId="4" borderId="9" xfId="1" applyNumberFormat="1" applyFill="1" applyBorder="1" applyAlignment="1" applyProtection="1">
      <alignment horizontal="center"/>
      <protection locked="0"/>
    </xf>
    <xf numFmtId="0" fontId="1" fillId="0" borderId="18" xfId="1" applyBorder="1" applyProtection="1">
      <protection locked="0"/>
    </xf>
    <xf numFmtId="10" fontId="1" fillId="4" borderId="17" xfId="1" applyNumberFormat="1" applyFill="1" applyBorder="1" applyAlignment="1" applyProtection="1">
      <alignment horizontal="center"/>
      <protection locked="0"/>
    </xf>
    <xf numFmtId="0" fontId="1" fillId="0" borderId="14" xfId="1" applyBorder="1" applyProtection="1">
      <protection locked="0"/>
    </xf>
    <xf numFmtId="10" fontId="1" fillId="4" borderId="14" xfId="1" applyNumberFormat="1" applyFill="1" applyBorder="1" applyAlignment="1" applyProtection="1">
      <alignment horizontal="center"/>
      <protection locked="0"/>
    </xf>
    <xf numFmtId="0" fontId="2" fillId="0" borderId="0" xfId="1" applyFont="1" applyAlignment="1">
      <alignment vertical="center"/>
    </xf>
    <xf numFmtId="0" fontId="1" fillId="0" borderId="2" xfId="1" applyBorder="1"/>
    <xf numFmtId="0" fontId="1" fillId="0" borderId="16" xfId="1" applyBorder="1" applyProtection="1">
      <protection locked="0"/>
    </xf>
    <xf numFmtId="10" fontId="1" fillId="4" borderId="1" xfId="1" applyNumberFormat="1" applyFill="1" applyBorder="1" applyAlignment="1" applyProtection="1">
      <alignment horizontal="center"/>
      <protection locked="0"/>
    </xf>
    <xf numFmtId="165" fontId="2" fillId="2" borderId="4" xfId="1" applyNumberFormat="1" applyFont="1" applyFill="1" applyBorder="1" applyAlignment="1">
      <alignment vertical="center"/>
    </xf>
    <xf numFmtId="0" fontId="1" fillId="0" borderId="8" xfId="1" applyBorder="1"/>
    <xf numFmtId="0" fontId="1" fillId="0" borderId="1" xfId="1" applyBorder="1"/>
    <xf numFmtId="10" fontId="1" fillId="0" borderId="0" xfId="1" applyNumberFormat="1" applyAlignment="1">
      <alignment horizontal="center"/>
    </xf>
    <xf numFmtId="10" fontId="2" fillId="2" borderId="4" xfId="1" applyNumberFormat="1" applyFont="1" applyFill="1" applyBorder="1" applyAlignment="1">
      <alignment horizontal="center" vertical="center"/>
    </xf>
    <xf numFmtId="0" fontId="1" fillId="0" borderId="9" xfId="1" applyBorder="1" applyProtection="1">
      <protection locked="0"/>
    </xf>
    <xf numFmtId="165" fontId="2" fillId="5" borderId="1" xfId="1" applyNumberFormat="1" applyFont="1" applyFill="1" applyBorder="1" applyAlignment="1">
      <alignment horizontal="right" vertical="center"/>
    </xf>
    <xf numFmtId="43" fontId="1" fillId="0" borderId="0" xfId="1" applyNumberFormat="1"/>
    <xf numFmtId="43" fontId="1" fillId="0" borderId="0" xfId="1" applyNumberFormat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1" fillId="3" borderId="6" xfId="1" applyFill="1" applyBorder="1" applyAlignment="1">
      <alignment vertical="center"/>
    </xf>
    <xf numFmtId="0" fontId="1" fillId="3" borderId="7" xfId="1" applyFill="1" applyBorder="1" applyAlignment="1">
      <alignment vertical="center"/>
    </xf>
    <xf numFmtId="165" fontId="3" fillId="3" borderId="4" xfId="3" applyFont="1" applyFill="1" applyBorder="1" applyAlignment="1" applyProtection="1">
      <alignment vertical="center"/>
    </xf>
    <xf numFmtId="43" fontId="0" fillId="0" borderId="0" xfId="0" applyNumberFormat="1"/>
    <xf numFmtId="0" fontId="1" fillId="0" borderId="38" xfId="0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left"/>
    </xf>
    <xf numFmtId="0" fontId="2" fillId="0" borderId="8" xfId="0" applyFont="1" applyBorder="1" applyAlignment="1" applyProtection="1">
      <alignment horizontal="center"/>
      <protection locked="0"/>
    </xf>
    <xf numFmtId="165" fontId="1" fillId="0" borderId="8" xfId="5" applyNumberFormat="1" applyFont="1" applyFill="1" applyBorder="1" applyAlignment="1" applyProtection="1">
      <alignment horizontal="center" wrapText="1"/>
      <protection locked="0"/>
    </xf>
    <xf numFmtId="165" fontId="2" fillId="3" borderId="8" xfId="5" applyNumberFormat="1" applyFont="1" applyFill="1" applyBorder="1" applyAlignment="1">
      <alignment horizontal="center" vertical="center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169" fontId="1" fillId="0" borderId="14" xfId="4" applyNumberFormat="1" applyFont="1" applyFill="1" applyBorder="1" applyAlignment="1" applyProtection="1">
      <alignment horizontal="center" vertical="center"/>
      <protection locked="0"/>
    </xf>
    <xf numFmtId="169" fontId="1" fillId="3" borderId="14" xfId="4" applyNumberFormat="1" applyFont="1" applyFill="1" applyBorder="1" applyAlignment="1">
      <alignment horizontal="center" vertical="center"/>
    </xf>
    <xf numFmtId="0" fontId="1" fillId="0" borderId="13" xfId="5" applyNumberFormat="1" applyFont="1" applyFill="1" applyBorder="1" applyAlignment="1" applyProtection="1">
      <alignment horizontal="center" vertical="center"/>
      <protection locked="0"/>
    </xf>
    <xf numFmtId="9" fontId="1" fillId="0" borderId="0" xfId="0" applyNumberFormat="1" applyFont="1"/>
    <xf numFmtId="0" fontId="5" fillId="3" borderId="4" xfId="0" applyFont="1" applyFill="1" applyBorder="1" applyAlignment="1">
      <alignment horizontal="center" vertical="center" wrapText="1"/>
    </xf>
    <xf numFmtId="44" fontId="0" fillId="0" borderId="0" xfId="4" applyFont="1"/>
    <xf numFmtId="165" fontId="1" fillId="14" borderId="9" xfId="3" applyFont="1" applyFill="1" applyBorder="1" applyAlignment="1" applyProtection="1">
      <alignment horizontal="center"/>
      <protection locked="0"/>
    </xf>
    <xf numFmtId="0" fontId="17" fillId="13" borderId="0" xfId="0" applyFont="1" applyFill="1"/>
    <xf numFmtId="165" fontId="1" fillId="4" borderId="13" xfId="3" applyFont="1" applyFill="1" applyBorder="1" applyAlignment="1" applyProtection="1">
      <alignment horizontal="right" vertical="center" wrapText="1"/>
      <protection locked="0"/>
    </xf>
    <xf numFmtId="0" fontId="1" fillId="0" borderId="40" xfId="5" applyNumberFormat="1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2" fontId="0" fillId="9" borderId="35" xfId="0" applyNumberFormat="1" applyFill="1" applyBorder="1"/>
    <xf numFmtId="0" fontId="1" fillId="0" borderId="39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9" fontId="0" fillId="0" borderId="0" xfId="6" applyFont="1"/>
    <xf numFmtId="44" fontId="0" fillId="0" borderId="0" xfId="0" applyNumberFormat="1"/>
    <xf numFmtId="171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0" fontId="1" fillId="14" borderId="9" xfId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8" fontId="2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69" fontId="2" fillId="5" borderId="5" xfId="4" applyNumberFormat="1" applyFont="1" applyFill="1" applyBorder="1" applyAlignment="1">
      <alignment horizontal="center" vertical="center"/>
    </xf>
    <xf numFmtId="169" fontId="2" fillId="5" borderId="7" xfId="4" applyNumberFormat="1" applyFont="1" applyFill="1" applyBorder="1" applyAlignment="1">
      <alignment horizontal="center" vertical="center"/>
    </xf>
    <xf numFmtId="169" fontId="2" fillId="12" borderId="0" xfId="4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7">
    <cellStyle name="Moeda" xfId="4" builtinId="4"/>
    <cellStyle name="Normal" xfId="0" builtinId="0"/>
    <cellStyle name="Normal 2" xfId="1" xr:uid="{00000000-0005-0000-0000-000002000000}"/>
    <cellStyle name="Porcentagem" xfId="6" builtinId="5"/>
    <cellStyle name="Porcentagem 2" xfId="2" xr:uid="{00000000-0005-0000-0000-000004000000}"/>
    <cellStyle name="Vírgula" xfId="5" builtinId="3"/>
    <cellStyle name="Vírgula 2" xfId="3" xr:uid="{00000000-0005-0000-0000-000006000000}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>
          <a:extLst>
            <a:ext uri="{FF2B5EF4-FFF2-40B4-BE49-F238E27FC236}">
              <a16:creationId xmlns:a16="http://schemas.microsoft.com/office/drawing/2014/main" id="{81D8930C-AF75-4536-A51B-21747277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238499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180975</xdr:rowOff>
    </xdr:from>
    <xdr:to>
      <xdr:col>8</xdr:col>
      <xdr:colOff>447674</xdr:colOff>
      <xdr:row>1</xdr:row>
      <xdr:rowOff>257175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07425C-2067-4824-82E4-54B3E583D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49" y="180975"/>
          <a:ext cx="10953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180975</xdr:rowOff>
    </xdr:from>
    <xdr:to>
      <xdr:col>8</xdr:col>
      <xdr:colOff>447674</xdr:colOff>
      <xdr:row>1</xdr:row>
      <xdr:rowOff>257175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8E4DB2-5F24-4901-B4E6-E58831A7E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49" y="180975"/>
          <a:ext cx="10953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>
          <a:extLst>
            <a:ext uri="{FF2B5EF4-FFF2-40B4-BE49-F238E27FC236}">
              <a16:creationId xmlns:a16="http://schemas.microsoft.com/office/drawing/2014/main" id="{5540C91B-37F2-4B41-92BC-741CCE12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32422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3" name="Imagem 2" descr="MARCA_corporativa">
          <a:extLst>
            <a:ext uri="{FF2B5EF4-FFF2-40B4-BE49-F238E27FC236}">
              <a16:creationId xmlns:a16="http://schemas.microsoft.com/office/drawing/2014/main" id="{C431A530-526C-440C-BFE4-354BCEBE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32422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180975</xdr:rowOff>
    </xdr:from>
    <xdr:to>
      <xdr:col>8</xdr:col>
      <xdr:colOff>561974</xdr:colOff>
      <xdr:row>1</xdr:row>
      <xdr:rowOff>257175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51E408F-0169-46C9-9AFD-E1CA884E8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49" y="180975"/>
          <a:ext cx="12096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266699</xdr:colOff>
      <xdr:row>0</xdr:row>
      <xdr:rowOff>180975</xdr:rowOff>
    </xdr:from>
    <xdr:to>
      <xdr:col>8</xdr:col>
      <xdr:colOff>447674</xdr:colOff>
      <xdr:row>1</xdr:row>
      <xdr:rowOff>257175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D7D3D79-1444-416B-B112-34E03AF57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10549" y="180975"/>
          <a:ext cx="10953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5BE6E-243F-4F97-8A66-954B5E303E4A}">
  <dimension ref="A1:K148"/>
  <sheetViews>
    <sheetView showGridLines="0" view="pageBreakPreview" topLeftCell="A122" zoomScaleNormal="100" zoomScaleSheetLayoutView="100" workbookViewId="0">
      <selection activeCell="E126" sqref="E126"/>
    </sheetView>
  </sheetViews>
  <sheetFormatPr defaultRowHeight="15" x14ac:dyDescent="0.25"/>
  <cols>
    <col min="1" max="1" width="50.85546875" customWidth="1"/>
    <col min="2" max="2" width="13.140625" customWidth="1"/>
    <col min="3" max="3" width="24.28515625" customWidth="1"/>
    <col min="4" max="4" width="12" customWidth="1"/>
    <col min="5" max="5" width="18.140625" customWidth="1"/>
    <col min="7" max="8" width="13.28515625" bestFit="1" customWidth="1"/>
    <col min="9" max="9" width="9.5703125" bestFit="1" customWidth="1"/>
    <col min="11" max="11" width="13.28515625" bestFit="1" customWidth="1"/>
  </cols>
  <sheetData>
    <row r="1" spans="1:5" ht="7.5" customHeight="1" thickBot="1" x14ac:dyDescent="0.3"/>
    <row r="2" spans="1:5" ht="24.75" customHeight="1" thickBot="1" x14ac:dyDescent="0.3">
      <c r="A2" s="241" t="s">
        <v>63</v>
      </c>
      <c r="B2" s="242"/>
      <c r="C2" s="242"/>
      <c r="D2" s="242"/>
      <c r="E2" s="243"/>
    </row>
    <row r="4" spans="1:5" x14ac:dyDescent="0.25">
      <c r="A4" s="20" t="s">
        <v>0</v>
      </c>
      <c r="B4" s="18" t="s">
        <v>1</v>
      </c>
      <c r="C4" s="18"/>
      <c r="D4" s="18"/>
      <c r="E4" s="18"/>
    </row>
    <row r="5" spans="1:5" x14ac:dyDescent="0.25">
      <c r="A5" s="1"/>
      <c r="B5" s="1"/>
      <c r="C5" s="1"/>
      <c r="D5" s="1"/>
      <c r="E5" s="1"/>
    </row>
    <row r="6" spans="1:5" x14ac:dyDescent="0.25">
      <c r="A6" s="12" t="s">
        <v>2</v>
      </c>
      <c r="B6" s="1"/>
      <c r="C6" s="1"/>
      <c r="D6" s="1"/>
      <c r="E6" s="1"/>
    </row>
    <row r="7" spans="1:5" ht="38.25" x14ac:dyDescent="0.25">
      <c r="A7" s="16" t="s">
        <v>3</v>
      </c>
      <c r="B7" s="16" t="s">
        <v>4</v>
      </c>
      <c r="C7" s="16" t="s">
        <v>5</v>
      </c>
      <c r="D7" s="16" t="s">
        <v>6</v>
      </c>
      <c r="E7" s="16" t="s">
        <v>7</v>
      </c>
    </row>
    <row r="8" spans="1:5" x14ac:dyDescent="0.25">
      <c r="A8" s="102" t="s">
        <v>118</v>
      </c>
      <c r="B8" s="103">
        <v>35</v>
      </c>
      <c r="C8" s="228">
        <f>E8/B8/D8</f>
        <v>631.02471428571425</v>
      </c>
      <c r="D8" s="105">
        <v>0.5</v>
      </c>
      <c r="E8" s="153">
        <v>11042.932499999999</v>
      </c>
    </row>
    <row r="9" spans="1:5" x14ac:dyDescent="0.25">
      <c r="A9" s="102" t="s">
        <v>134</v>
      </c>
      <c r="B9" s="103">
        <v>35</v>
      </c>
      <c r="C9" s="228">
        <f t="shared" ref="C9:C19" si="0">E9/B9/D9</f>
        <v>389.52142857142849</v>
      </c>
      <c r="D9" s="105">
        <v>0.5</v>
      </c>
      <c r="E9" s="153">
        <v>6816.6249999999982</v>
      </c>
    </row>
    <row r="10" spans="1:5" x14ac:dyDescent="0.25">
      <c r="A10" s="102" t="s">
        <v>119</v>
      </c>
      <c r="B10" s="103">
        <v>35</v>
      </c>
      <c r="C10" s="228">
        <f t="shared" si="0"/>
        <v>518.53092571428567</v>
      </c>
      <c r="D10" s="105">
        <v>0.5</v>
      </c>
      <c r="E10" s="153">
        <v>9074.2911999999997</v>
      </c>
    </row>
    <row r="11" spans="1:5" x14ac:dyDescent="0.25">
      <c r="A11" s="102" t="s">
        <v>159</v>
      </c>
      <c r="B11" s="103">
        <v>35</v>
      </c>
      <c r="C11" s="228">
        <f t="shared" si="0"/>
        <v>189.35714285714286</v>
      </c>
      <c r="D11" s="105">
        <v>1</v>
      </c>
      <c r="E11" s="153">
        <v>6627.5</v>
      </c>
    </row>
    <row r="12" spans="1:5" x14ac:dyDescent="0.25">
      <c r="A12" s="102" t="s">
        <v>128</v>
      </c>
      <c r="B12" s="103">
        <v>35</v>
      </c>
      <c r="C12" s="228">
        <f t="shared" si="0"/>
        <v>272.6742857142857</v>
      </c>
      <c r="D12" s="105">
        <v>1</v>
      </c>
      <c r="E12" s="153">
        <v>9543.6</v>
      </c>
    </row>
    <row r="13" spans="1:5" x14ac:dyDescent="0.25">
      <c r="A13" s="102" t="s">
        <v>120</v>
      </c>
      <c r="B13" s="103">
        <v>35</v>
      </c>
      <c r="C13" s="228">
        <f t="shared" si="0"/>
        <v>308.00075428571427</v>
      </c>
      <c r="D13" s="105">
        <v>2</v>
      </c>
      <c r="E13" s="153">
        <v>21560.052799999998</v>
      </c>
    </row>
    <row r="14" spans="1:5" x14ac:dyDescent="0.25">
      <c r="A14" s="102" t="s">
        <v>132</v>
      </c>
      <c r="B14" s="103">
        <v>35</v>
      </c>
      <c r="C14" s="228">
        <f t="shared" si="0"/>
        <v>227.25714285714287</v>
      </c>
      <c r="D14" s="105">
        <v>1</v>
      </c>
      <c r="E14" s="153">
        <v>7954</v>
      </c>
    </row>
    <row r="15" spans="1:5" x14ac:dyDescent="0.25">
      <c r="A15" s="102" t="s">
        <v>65</v>
      </c>
      <c r="B15" s="103">
        <v>35</v>
      </c>
      <c r="C15" s="228">
        <f t="shared" si="0"/>
        <v>163.75605714285712</v>
      </c>
      <c r="D15" s="105">
        <v>14</v>
      </c>
      <c r="E15" s="153">
        <v>80240.467999999993</v>
      </c>
    </row>
    <row r="16" spans="1:5" x14ac:dyDescent="0.25">
      <c r="A16" s="102" t="s">
        <v>121</v>
      </c>
      <c r="B16" s="103">
        <v>35</v>
      </c>
      <c r="C16" s="228">
        <f t="shared" si="0"/>
        <v>143.30548571428574</v>
      </c>
      <c r="D16" s="105">
        <v>2</v>
      </c>
      <c r="E16" s="153">
        <v>10031.384000000002</v>
      </c>
    </row>
    <row r="17" spans="1:5" x14ac:dyDescent="0.25">
      <c r="A17" s="102" t="s">
        <v>66</v>
      </c>
      <c r="B17" s="103">
        <v>35</v>
      </c>
      <c r="C17" s="228">
        <f t="shared" si="0"/>
        <v>91.497371428571427</v>
      </c>
      <c r="D17" s="105">
        <v>16</v>
      </c>
      <c r="E17" s="153">
        <v>51238.527999999998</v>
      </c>
    </row>
    <row r="18" spans="1:5" x14ac:dyDescent="0.25">
      <c r="A18" s="102" t="s">
        <v>122</v>
      </c>
      <c r="B18" s="103">
        <v>35</v>
      </c>
      <c r="C18" s="228">
        <f t="shared" si="0"/>
        <v>147.35188000000002</v>
      </c>
      <c r="D18" s="105">
        <v>1</v>
      </c>
      <c r="E18" s="153">
        <v>5157.3158000000003</v>
      </c>
    </row>
    <row r="19" spans="1:5" x14ac:dyDescent="0.25">
      <c r="A19" s="102" t="s">
        <v>123</v>
      </c>
      <c r="B19" s="103">
        <v>35</v>
      </c>
      <c r="C19" s="228">
        <f t="shared" si="0"/>
        <v>143.30548571428574</v>
      </c>
      <c r="D19" s="105">
        <v>2</v>
      </c>
      <c r="E19" s="153">
        <v>10031.384000000002</v>
      </c>
    </row>
    <row r="20" spans="1:5" x14ac:dyDescent="0.25">
      <c r="A20" s="102"/>
      <c r="B20" s="103"/>
      <c r="C20" s="152"/>
      <c r="D20" s="105"/>
      <c r="E20" s="153">
        <f t="shared" ref="E20:E22" si="1">C20*B20*D20</f>
        <v>0</v>
      </c>
    </row>
    <row r="21" spans="1:5" x14ac:dyDescent="0.25">
      <c r="A21" s="102"/>
      <c r="B21" s="103"/>
      <c r="C21" s="152"/>
      <c r="D21" s="105"/>
      <c r="E21" s="153">
        <f t="shared" si="1"/>
        <v>0</v>
      </c>
    </row>
    <row r="22" spans="1:5" x14ac:dyDescent="0.25">
      <c r="A22" s="102"/>
      <c r="B22" s="103"/>
      <c r="C22" s="152"/>
      <c r="D22" s="104"/>
      <c r="E22" s="154">
        <f t="shared" si="1"/>
        <v>0</v>
      </c>
    </row>
    <row r="23" spans="1:5" x14ac:dyDescent="0.25">
      <c r="A23" s="6" t="s">
        <v>8</v>
      </c>
      <c r="B23" s="155"/>
      <c r="C23" s="156"/>
      <c r="D23" s="7"/>
      <c r="E23" s="25">
        <f>SUM(E8:E22)</f>
        <v>229318.08129999996</v>
      </c>
    </row>
    <row r="24" spans="1:5" x14ac:dyDescent="0.25">
      <c r="A24" s="157" t="s">
        <v>9</v>
      </c>
      <c r="B24" s="158"/>
      <c r="C24" s="158"/>
      <c r="D24" s="24"/>
      <c r="E24" s="159">
        <f>E23*30%</f>
        <v>68795.424389999986</v>
      </c>
    </row>
    <row r="25" spans="1:5" x14ac:dyDescent="0.25">
      <c r="A25" s="12"/>
      <c r="B25" s="1"/>
      <c r="C25" s="26"/>
      <c r="D25" s="160"/>
      <c r="E25" s="160"/>
    </row>
    <row r="26" spans="1:5" x14ac:dyDescent="0.25">
      <c r="A26" s="1"/>
      <c r="B26" s="1"/>
      <c r="C26" s="31"/>
      <c r="D26" s="31" t="s">
        <v>10</v>
      </c>
      <c r="E26" s="161">
        <f>E23+E24</f>
        <v>298113.50568999996</v>
      </c>
    </row>
    <row r="27" spans="1:5" x14ac:dyDescent="0.25">
      <c r="A27" s="1"/>
      <c r="B27" s="1"/>
      <c r="C27" s="1"/>
      <c r="D27" s="1"/>
      <c r="E27" s="1"/>
    </row>
    <row r="28" spans="1:5" x14ac:dyDescent="0.25">
      <c r="A28" s="12" t="s">
        <v>11</v>
      </c>
      <c r="B28" s="1"/>
      <c r="C28" s="1"/>
      <c r="D28" s="1"/>
    </row>
    <row r="29" spans="1:5" x14ac:dyDescent="0.25">
      <c r="A29" s="14" t="s">
        <v>12</v>
      </c>
      <c r="B29" s="14" t="s">
        <v>13</v>
      </c>
      <c r="C29" s="14" t="s">
        <v>14</v>
      </c>
      <c r="D29" s="162"/>
    </row>
    <row r="30" spans="1:5" x14ac:dyDescent="0.25">
      <c r="A30" s="26"/>
      <c r="B30" s="26"/>
      <c r="C30" s="26"/>
      <c r="D30" s="1"/>
    </row>
    <row r="31" spans="1:5" x14ac:dyDescent="0.25">
      <c r="A31" s="27" t="s">
        <v>15</v>
      </c>
      <c r="B31" s="28">
        <v>0.85</v>
      </c>
      <c r="C31" s="30">
        <f>E26*B31</f>
        <v>253396.47983649996</v>
      </c>
      <c r="D31" s="163"/>
      <c r="E31" s="1"/>
    </row>
    <row r="32" spans="1:5" x14ac:dyDescent="0.25">
      <c r="A32" s="1"/>
      <c r="B32" s="162"/>
      <c r="C32" s="1"/>
      <c r="D32" s="1"/>
      <c r="E32" s="1"/>
    </row>
    <row r="33" spans="1:5" x14ac:dyDescent="0.25">
      <c r="A33" s="164"/>
      <c r="B33" s="1"/>
      <c r="C33" s="165"/>
      <c r="D33" s="32" t="s">
        <v>16</v>
      </c>
      <c r="E33" s="166">
        <f>E26+C31</f>
        <v>551509.98552649992</v>
      </c>
    </row>
    <row r="34" spans="1:5" x14ac:dyDescent="0.25">
      <c r="A34" s="12" t="s">
        <v>17</v>
      </c>
      <c r="B34" s="1"/>
      <c r="C34" s="1"/>
      <c r="D34" s="1"/>
      <c r="E34" s="1"/>
    </row>
    <row r="35" spans="1:5" ht="25.5" x14ac:dyDescent="0.25">
      <c r="A35" s="16" t="s">
        <v>18</v>
      </c>
      <c r="B35" s="16" t="s">
        <v>19</v>
      </c>
      <c r="C35" s="16" t="s">
        <v>20</v>
      </c>
      <c r="D35" s="29" t="s">
        <v>21</v>
      </c>
      <c r="E35" s="1"/>
    </row>
    <row r="36" spans="1:5" x14ac:dyDescent="0.25">
      <c r="A36" s="167" t="s">
        <v>135</v>
      </c>
      <c r="B36" s="168">
        <v>1</v>
      </c>
      <c r="C36" s="38">
        <v>1800</v>
      </c>
      <c r="D36" s="169">
        <f>C36*B36</f>
        <v>1800</v>
      </c>
      <c r="E36" s="1"/>
    </row>
    <row r="37" spans="1:5" x14ac:dyDescent="0.25">
      <c r="A37" s="167" t="s">
        <v>136</v>
      </c>
      <c r="B37" s="168">
        <v>2</v>
      </c>
      <c r="C37" s="38">
        <v>5000</v>
      </c>
      <c r="D37" s="169">
        <f t="shared" ref="D37:D41" si="2">C37*B37</f>
        <v>10000</v>
      </c>
      <c r="E37" s="1"/>
    </row>
    <row r="38" spans="1:5" x14ac:dyDescent="0.25">
      <c r="A38" s="167" t="s">
        <v>137</v>
      </c>
      <c r="B38" s="168">
        <v>15</v>
      </c>
      <c r="C38" s="38">
        <v>750</v>
      </c>
      <c r="D38" s="169">
        <f t="shared" si="2"/>
        <v>11250</v>
      </c>
      <c r="E38" s="1"/>
    </row>
    <row r="39" spans="1:5" x14ac:dyDescent="0.25">
      <c r="A39" s="167" t="s">
        <v>157</v>
      </c>
      <c r="B39" s="168">
        <v>1</v>
      </c>
      <c r="C39" s="38">
        <v>800</v>
      </c>
      <c r="D39" s="169">
        <f t="shared" si="2"/>
        <v>800</v>
      </c>
      <c r="E39" s="1"/>
    </row>
    <row r="40" spans="1:5" x14ac:dyDescent="0.25">
      <c r="A40" s="167" t="s">
        <v>158</v>
      </c>
      <c r="B40" s="168">
        <v>2</v>
      </c>
      <c r="C40" s="38">
        <v>2200</v>
      </c>
      <c r="D40" s="169">
        <f t="shared" si="2"/>
        <v>4400</v>
      </c>
      <c r="E40" s="1"/>
    </row>
    <row r="41" spans="1:5" x14ac:dyDescent="0.25">
      <c r="A41" s="167" t="s">
        <v>138</v>
      </c>
      <c r="B41" s="168">
        <v>5</v>
      </c>
      <c r="C41" s="226">
        <v>500</v>
      </c>
      <c r="D41" s="169">
        <f t="shared" si="2"/>
        <v>2500</v>
      </c>
      <c r="E41" s="1"/>
    </row>
    <row r="42" spans="1:5" x14ac:dyDescent="0.25">
      <c r="A42" s="167" t="s">
        <v>139</v>
      </c>
      <c r="B42" s="168">
        <v>1</v>
      </c>
      <c r="C42" s="38">
        <v>300</v>
      </c>
      <c r="D42" s="169">
        <f>C42*B42</f>
        <v>300</v>
      </c>
      <c r="E42" s="1"/>
    </row>
    <row r="43" spans="1:5" x14ac:dyDescent="0.25">
      <c r="A43" s="167" t="s">
        <v>151</v>
      </c>
      <c r="B43" s="182">
        <v>8</v>
      </c>
      <c r="C43" s="38">
        <v>1800</v>
      </c>
      <c r="D43" s="169">
        <f t="shared" ref="D43:D44" si="3">C43*B43</f>
        <v>14400</v>
      </c>
      <c r="E43" s="1"/>
    </row>
    <row r="44" spans="1:5" x14ac:dyDescent="0.25">
      <c r="A44" s="167" t="s">
        <v>152</v>
      </c>
      <c r="B44" s="182">
        <v>20</v>
      </c>
      <c r="C44" s="38">
        <v>260</v>
      </c>
      <c r="D44" s="169">
        <f t="shared" si="3"/>
        <v>5200</v>
      </c>
      <c r="E44" s="1"/>
    </row>
    <row r="45" spans="1:5" x14ac:dyDescent="0.25">
      <c r="A45" s="170" t="s">
        <v>140</v>
      </c>
      <c r="B45" s="171">
        <v>1</v>
      </c>
      <c r="C45" s="38">
        <f>105000*1.15</f>
        <v>120749.99999999999</v>
      </c>
      <c r="D45" s="172">
        <f>C45*B45</f>
        <v>120749.99999999999</v>
      </c>
    </row>
    <row r="46" spans="1:5" x14ac:dyDescent="0.25">
      <c r="A46" s="173"/>
      <c r="B46" s="1"/>
      <c r="C46" s="174" t="s">
        <v>22</v>
      </c>
      <c r="D46" s="175">
        <f>SUM(D36:D45)</f>
        <v>171400</v>
      </c>
    </row>
    <row r="47" spans="1:5" x14ac:dyDescent="0.25">
      <c r="A47" s="12" t="s">
        <v>23</v>
      </c>
      <c r="B47" s="1"/>
      <c r="C47" s="1"/>
      <c r="D47" s="1"/>
    </row>
    <row r="48" spans="1:5" ht="25.5" x14ac:dyDescent="0.25">
      <c r="A48" s="14" t="s">
        <v>18</v>
      </c>
      <c r="B48" s="15" t="s">
        <v>19</v>
      </c>
      <c r="C48" s="14" t="s">
        <v>20</v>
      </c>
      <c r="D48" s="29" t="s">
        <v>21</v>
      </c>
    </row>
    <row r="49" spans="1:5" x14ac:dyDescent="0.25">
      <c r="A49" s="176" t="s">
        <v>24</v>
      </c>
      <c r="B49" s="177" t="s">
        <v>71</v>
      </c>
      <c r="C49" s="38">
        <v>7500</v>
      </c>
      <c r="D49" s="178">
        <f>C49</f>
        <v>7500</v>
      </c>
    </row>
    <row r="50" spans="1:5" x14ac:dyDescent="0.25">
      <c r="A50" s="179" t="s">
        <v>141</v>
      </c>
      <c r="B50" s="168" t="s">
        <v>71</v>
      </c>
      <c r="C50" s="38">
        <v>9500</v>
      </c>
      <c r="D50" s="180">
        <f>C50</f>
        <v>9500</v>
      </c>
    </row>
    <row r="51" spans="1:5" x14ac:dyDescent="0.25">
      <c r="A51" s="181" t="s">
        <v>142</v>
      </c>
      <c r="B51" s="182" t="s">
        <v>71</v>
      </c>
      <c r="C51" s="38">
        <v>10000</v>
      </c>
      <c r="D51" s="169">
        <f>C51</f>
        <v>10000</v>
      </c>
    </row>
    <row r="52" spans="1:5" x14ac:dyDescent="0.25">
      <c r="A52" s="179" t="s">
        <v>143</v>
      </c>
      <c r="B52" s="182" t="s">
        <v>71</v>
      </c>
      <c r="C52" s="38">
        <v>8000</v>
      </c>
      <c r="D52" s="169">
        <f>C52</f>
        <v>8000</v>
      </c>
    </row>
    <row r="53" spans="1:5" x14ac:dyDescent="0.25">
      <c r="A53" s="183" t="s">
        <v>144</v>
      </c>
      <c r="B53" s="171" t="s">
        <v>71</v>
      </c>
      <c r="C53" s="38">
        <f>60000*1.2</f>
        <v>72000</v>
      </c>
      <c r="D53" s="169">
        <f>C53</f>
        <v>72000</v>
      </c>
    </row>
    <row r="54" spans="1:5" x14ac:dyDescent="0.25">
      <c r="A54" s="173"/>
      <c r="B54" s="1"/>
      <c r="C54" s="174" t="s">
        <v>25</v>
      </c>
      <c r="D54" s="175">
        <f>SUM(D49:D53)</f>
        <v>107000</v>
      </c>
    </row>
    <row r="55" spans="1:5" x14ac:dyDescent="0.25">
      <c r="A55" s="12" t="s">
        <v>26</v>
      </c>
      <c r="B55" s="1"/>
      <c r="C55" s="1"/>
      <c r="D55" s="1"/>
    </row>
    <row r="56" spans="1:5" ht="25.5" x14ac:dyDescent="0.25">
      <c r="A56" s="16" t="s">
        <v>18</v>
      </c>
      <c r="B56" s="16" t="s">
        <v>27</v>
      </c>
      <c r="C56" s="16" t="s">
        <v>28</v>
      </c>
      <c r="D56" s="29" t="s">
        <v>21</v>
      </c>
    </row>
    <row r="57" spans="1:5" x14ac:dyDescent="0.25">
      <c r="A57" s="184" t="s">
        <v>29</v>
      </c>
      <c r="B57" s="168">
        <v>41</v>
      </c>
      <c r="C57" s="38">
        <v>700</v>
      </c>
      <c r="D57" s="39">
        <f>C57*B57+(500*2)</f>
        <v>29700</v>
      </c>
      <c r="E57" s="1"/>
    </row>
    <row r="58" spans="1:5" x14ac:dyDescent="0.25">
      <c r="A58" s="184" t="s">
        <v>67</v>
      </c>
      <c r="B58" s="168">
        <v>41</v>
      </c>
      <c r="C58" s="38">
        <v>450</v>
      </c>
      <c r="D58" s="39">
        <f t="shared" ref="D58:D64" si="4">C58*B58</f>
        <v>18450</v>
      </c>
      <c r="E58" s="1"/>
    </row>
    <row r="59" spans="1:5" x14ac:dyDescent="0.25">
      <c r="A59" s="184" t="s">
        <v>68</v>
      </c>
      <c r="B59" s="168">
        <v>41</v>
      </c>
      <c r="C59" s="38">
        <v>55</v>
      </c>
      <c r="D59" s="39">
        <f t="shared" si="4"/>
        <v>2255</v>
      </c>
      <c r="E59" s="1"/>
    </row>
    <row r="60" spans="1:5" x14ac:dyDescent="0.25">
      <c r="A60" s="184" t="s">
        <v>76</v>
      </c>
      <c r="B60" s="168" t="s">
        <v>71</v>
      </c>
      <c r="C60" s="38">
        <f>41*2*150</f>
        <v>12300</v>
      </c>
      <c r="D60" s="39">
        <f t="shared" ref="D60" si="5">C60</f>
        <v>12300</v>
      </c>
      <c r="E60" s="1"/>
    </row>
    <row r="61" spans="1:5" x14ac:dyDescent="0.25">
      <c r="A61" s="184" t="s">
        <v>77</v>
      </c>
      <c r="B61" s="168" t="s">
        <v>71</v>
      </c>
      <c r="C61" s="226">
        <f>((0.7*41*750)+(0.3*41*500))*1.4</f>
        <v>38745</v>
      </c>
      <c r="D61" s="39">
        <f>C61</f>
        <v>38745</v>
      </c>
      <c r="E61" s="1"/>
    </row>
    <row r="62" spans="1:5" x14ac:dyDescent="0.25">
      <c r="A62" s="184" t="s">
        <v>155</v>
      </c>
      <c r="B62" s="168" t="s">
        <v>71</v>
      </c>
      <c r="C62" s="38">
        <f>250*41</f>
        <v>10250</v>
      </c>
      <c r="D62" s="39">
        <f>C62</f>
        <v>10250</v>
      </c>
      <c r="E62" s="1"/>
    </row>
    <row r="63" spans="1:5" x14ac:dyDescent="0.25">
      <c r="A63" s="184" t="s">
        <v>156</v>
      </c>
      <c r="B63" s="168" t="s">
        <v>71</v>
      </c>
      <c r="C63" s="38">
        <f>41*80+5500</f>
        <v>8780</v>
      </c>
      <c r="D63" s="39">
        <f>C63</f>
        <v>8780</v>
      </c>
      <c r="E63" s="1"/>
    </row>
    <row r="64" spans="1:5" x14ac:dyDescent="0.25">
      <c r="A64" s="184" t="s">
        <v>69</v>
      </c>
      <c r="B64" s="168">
        <v>41</v>
      </c>
      <c r="C64" s="38">
        <v>485.23</v>
      </c>
      <c r="D64" s="39">
        <f t="shared" si="4"/>
        <v>19894.43</v>
      </c>
      <c r="E64" s="1"/>
    </row>
    <row r="65" spans="1:5" x14ac:dyDescent="0.25">
      <c r="A65" s="184" t="s">
        <v>70</v>
      </c>
      <c r="B65" s="168" t="s">
        <v>71</v>
      </c>
      <c r="C65" s="38">
        <f>41*2*40*4.5</f>
        <v>14760</v>
      </c>
      <c r="D65" s="39">
        <f t="shared" ref="D65" si="6">C65</f>
        <v>14760</v>
      </c>
      <c r="E65" s="1"/>
    </row>
    <row r="66" spans="1:5" x14ac:dyDescent="0.25">
      <c r="A66" s="185" t="s">
        <v>117</v>
      </c>
      <c r="B66" s="168" t="s">
        <v>71</v>
      </c>
      <c r="C66" s="38">
        <v>45937.299999999996</v>
      </c>
      <c r="D66" s="39">
        <f>C66</f>
        <v>45937.299999999996</v>
      </c>
      <c r="E66" s="1"/>
    </row>
    <row r="67" spans="1:5" x14ac:dyDescent="0.25">
      <c r="A67" s="185" t="s">
        <v>145</v>
      </c>
      <c r="B67" s="168" t="s">
        <v>71</v>
      </c>
      <c r="C67" s="38">
        <v>25000</v>
      </c>
      <c r="D67" s="39">
        <f>C67</f>
        <v>25000</v>
      </c>
      <c r="E67" s="1"/>
    </row>
    <row r="68" spans="1:5" x14ac:dyDescent="0.25">
      <c r="A68" s="185" t="s">
        <v>79</v>
      </c>
      <c r="B68" s="168" t="s">
        <v>71</v>
      </c>
      <c r="C68" s="38">
        <f>90*14*41</f>
        <v>51660</v>
      </c>
      <c r="D68" s="39">
        <f>C68</f>
        <v>51660</v>
      </c>
      <c r="E68" s="1"/>
    </row>
    <row r="69" spans="1:5" x14ac:dyDescent="0.25">
      <c r="A69" s="185" t="s">
        <v>80</v>
      </c>
      <c r="B69" s="168" t="s">
        <v>71</v>
      </c>
      <c r="C69" s="38">
        <f>14*1000</f>
        <v>14000</v>
      </c>
      <c r="D69" s="39">
        <f>C69</f>
        <v>14000</v>
      </c>
      <c r="E69" s="1"/>
    </row>
    <row r="70" spans="1:5" x14ac:dyDescent="0.25">
      <c r="A70" s="185" t="s">
        <v>146</v>
      </c>
      <c r="B70" s="168" t="s">
        <v>71</v>
      </c>
      <c r="C70" s="38">
        <v>67776.08</v>
      </c>
      <c r="D70" s="39">
        <f>C70</f>
        <v>67776.08</v>
      </c>
      <c r="E70" s="1"/>
    </row>
    <row r="71" spans="1:5" x14ac:dyDescent="0.25">
      <c r="A71" s="1"/>
      <c r="B71" s="22" t="s">
        <v>30</v>
      </c>
      <c r="C71" s="186"/>
      <c r="D71" s="187">
        <f>SUM(D57:D70)</f>
        <v>359507.81</v>
      </c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34" t="s">
        <v>31</v>
      </c>
      <c r="C73" s="35"/>
      <c r="D73" s="36"/>
      <c r="E73" s="37">
        <f>E33+D46+D54+D71</f>
        <v>1189417.7955264999</v>
      </c>
    </row>
    <row r="74" spans="1:5" x14ac:dyDescent="0.25">
      <c r="A74" s="20" t="s">
        <v>32</v>
      </c>
      <c r="B74" s="21"/>
      <c r="C74" s="21"/>
      <c r="D74" s="21"/>
      <c r="E74" s="21"/>
    </row>
    <row r="75" spans="1:5" x14ac:dyDescent="0.25">
      <c r="A75" s="1"/>
      <c r="B75" s="1"/>
      <c r="C75" s="1"/>
      <c r="D75" s="1"/>
      <c r="E75" s="1"/>
    </row>
    <row r="76" spans="1:5" ht="38.25" x14ac:dyDescent="0.25">
      <c r="A76" s="16" t="s">
        <v>18</v>
      </c>
      <c r="B76" s="16" t="s">
        <v>33</v>
      </c>
      <c r="C76" s="16" t="s">
        <v>34</v>
      </c>
      <c r="D76" s="29" t="s">
        <v>21</v>
      </c>
      <c r="E76" s="1"/>
    </row>
    <row r="77" spans="1:5" x14ac:dyDescent="0.25">
      <c r="A77" s="184" t="s">
        <v>72</v>
      </c>
      <c r="B77" s="188">
        <v>0.08</v>
      </c>
      <c r="C77" s="40">
        <f>B77*E73</f>
        <v>95153.423642119989</v>
      </c>
      <c r="D77" s="40">
        <f>C77</f>
        <v>95153.423642119989</v>
      </c>
      <c r="E77" s="1"/>
    </row>
    <row r="78" spans="1:5" x14ac:dyDescent="0.25">
      <c r="A78" s="184" t="s">
        <v>73</v>
      </c>
      <c r="B78" s="189">
        <v>0.01</v>
      </c>
      <c r="C78" s="41">
        <f>B78*E73</f>
        <v>11894.177955264999</v>
      </c>
      <c r="D78" s="41">
        <f>C78</f>
        <v>11894.177955264999</v>
      </c>
      <c r="E78" s="1"/>
    </row>
    <row r="79" spans="1:5" x14ac:dyDescent="0.25">
      <c r="A79" s="190" t="s">
        <v>74</v>
      </c>
      <c r="B79" s="191">
        <v>0.08</v>
      </c>
      <c r="C79" s="42">
        <f>B79*E73</f>
        <v>95153.423642119989</v>
      </c>
      <c r="D79" s="41">
        <f>C79</f>
        <v>95153.423642119989</v>
      </c>
      <c r="E79" s="1"/>
    </row>
    <row r="80" spans="1:5" x14ac:dyDescent="0.25">
      <c r="A80" s="192"/>
      <c r="B80" s="193"/>
      <c r="C80" s="43">
        <v>0</v>
      </c>
      <c r="D80" s="43">
        <v>0</v>
      </c>
      <c r="E80" s="1"/>
    </row>
    <row r="81" spans="1:5" x14ac:dyDescent="0.25">
      <c r="A81" s="194"/>
      <c r="B81" s="194"/>
      <c r="C81" s="23" t="s">
        <v>35</v>
      </c>
      <c r="D81" s="187">
        <f>SUM(D77:D80)</f>
        <v>202201.02523950499</v>
      </c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20" t="s">
        <v>36</v>
      </c>
      <c r="B83" s="21"/>
      <c r="C83" s="21"/>
      <c r="D83" s="21"/>
      <c r="E83" s="21"/>
    </row>
    <row r="84" spans="1:5" x14ac:dyDescent="0.25">
      <c r="A84" s="1"/>
      <c r="B84" s="1"/>
      <c r="C84" s="1"/>
      <c r="D84" s="1"/>
      <c r="E84" s="1"/>
    </row>
    <row r="85" spans="1:5" ht="25.5" x14ac:dyDescent="0.25">
      <c r="A85" s="16" t="s">
        <v>18</v>
      </c>
      <c r="B85" s="16" t="s">
        <v>37</v>
      </c>
      <c r="C85" s="16" t="s">
        <v>34</v>
      </c>
      <c r="D85" s="29" t="s">
        <v>21</v>
      </c>
      <c r="E85" s="1"/>
    </row>
    <row r="86" spans="1:5" x14ac:dyDescent="0.25">
      <c r="A86" s="195" t="s">
        <v>75</v>
      </c>
      <c r="B86" s="188">
        <v>7.6799999999999993E-2</v>
      </c>
      <c r="C86" s="40">
        <f>B86*E73</f>
        <v>91347.286696435185</v>
      </c>
      <c r="D86" s="40">
        <f>C86</f>
        <v>91347.286696435185</v>
      </c>
      <c r="E86" s="1"/>
    </row>
    <row r="87" spans="1:5" x14ac:dyDescent="0.25">
      <c r="A87" s="184"/>
      <c r="B87" s="189"/>
      <c r="C87" s="41">
        <v>0</v>
      </c>
      <c r="D87" s="41">
        <v>0</v>
      </c>
      <c r="E87" s="1"/>
    </row>
    <row r="88" spans="1:5" x14ac:dyDescent="0.25">
      <c r="A88" s="196"/>
      <c r="B88" s="197"/>
      <c r="C88" s="50">
        <v>0</v>
      </c>
      <c r="D88" s="50">
        <v>0</v>
      </c>
      <c r="E88" s="1"/>
    </row>
    <row r="89" spans="1:5" x14ac:dyDescent="0.25">
      <c r="A89" s="194"/>
      <c r="B89" s="22" t="s">
        <v>38</v>
      </c>
      <c r="C89" s="186"/>
      <c r="D89" s="187">
        <f>SUM(D86:D88)</f>
        <v>91347.286696435185</v>
      </c>
      <c r="E89" s="1"/>
    </row>
    <row r="90" spans="1:5" x14ac:dyDescent="0.25">
      <c r="A90" s="1"/>
      <c r="B90" s="1"/>
      <c r="C90" s="1"/>
      <c r="D90" s="1"/>
      <c r="E90" s="1"/>
    </row>
    <row r="91" spans="1:5" x14ac:dyDescent="0.25">
      <c r="A91" s="20" t="s">
        <v>39</v>
      </c>
      <c r="B91" s="21"/>
      <c r="C91" s="21"/>
      <c r="D91" s="21"/>
      <c r="E91" s="21"/>
    </row>
    <row r="92" spans="1:5" x14ac:dyDescent="0.25">
      <c r="A92" s="1"/>
      <c r="B92" s="1"/>
      <c r="C92" s="1"/>
      <c r="D92" s="1"/>
      <c r="E92" s="1"/>
    </row>
    <row r="93" spans="1:5" x14ac:dyDescent="0.25">
      <c r="A93" s="2" t="s">
        <v>40</v>
      </c>
      <c r="B93" s="3"/>
      <c r="C93" s="3"/>
      <c r="D93" s="4"/>
      <c r="E93" s="198">
        <f>E73+D81+D89</f>
        <v>1482966.1074624399</v>
      </c>
    </row>
    <row r="94" spans="1:5" x14ac:dyDescent="0.25">
      <c r="A94" s="1"/>
      <c r="B94" s="1"/>
      <c r="C94" s="1"/>
      <c r="D94" s="1"/>
      <c r="E94" s="1"/>
    </row>
    <row r="95" spans="1:5" x14ac:dyDescent="0.25">
      <c r="A95" s="20" t="s">
        <v>41</v>
      </c>
      <c r="B95" s="21"/>
      <c r="C95" s="21"/>
      <c r="D95" s="21"/>
      <c r="E95" s="21"/>
    </row>
    <row r="96" spans="1:5" x14ac:dyDescent="0.25">
      <c r="A96" s="1"/>
      <c r="B96" s="1"/>
      <c r="C96" s="1"/>
      <c r="D96" s="1"/>
      <c r="E96" s="1"/>
    </row>
    <row r="97" spans="1:6" x14ac:dyDescent="0.25">
      <c r="A97" s="16" t="s">
        <v>18</v>
      </c>
      <c r="B97" s="16" t="s">
        <v>37</v>
      </c>
      <c r="C97" s="1"/>
      <c r="D97" s="1"/>
      <c r="E97" s="1"/>
    </row>
    <row r="98" spans="1:6" x14ac:dyDescent="0.25">
      <c r="A98" s="199" t="s">
        <v>42</v>
      </c>
      <c r="B98" s="188">
        <v>0.05</v>
      </c>
      <c r="C98" s="1"/>
      <c r="D98" s="1"/>
      <c r="E98" s="1"/>
    </row>
    <row r="99" spans="1:6" x14ac:dyDescent="0.25">
      <c r="A99" s="181" t="s">
        <v>43</v>
      </c>
      <c r="B99" s="189">
        <v>6.4999999999999997E-3</v>
      </c>
      <c r="C99" s="1"/>
      <c r="D99" s="1"/>
      <c r="E99" s="1"/>
    </row>
    <row r="100" spans="1:6" x14ac:dyDescent="0.25">
      <c r="A100" s="200" t="s">
        <v>44</v>
      </c>
      <c r="B100" s="197">
        <v>0.03</v>
      </c>
      <c r="C100" s="1"/>
      <c r="D100" s="1"/>
      <c r="E100" s="1"/>
    </row>
    <row r="101" spans="1:6" x14ac:dyDescent="0.25">
      <c r="A101" s="1"/>
      <c r="B101" s="201"/>
      <c r="C101" s="1"/>
      <c r="D101" s="1"/>
      <c r="E101" s="1"/>
    </row>
    <row r="102" spans="1:6" ht="27.75" customHeight="1" x14ac:dyDescent="0.25">
      <c r="A102" s="5" t="s">
        <v>45</v>
      </c>
      <c r="B102" s="202">
        <f>SUM(B98:B100)</f>
        <v>8.6499999999999994E-2</v>
      </c>
      <c r="C102" s="1"/>
      <c r="D102" s="1"/>
      <c r="E102" s="1"/>
    </row>
    <row r="103" spans="1:6" x14ac:dyDescent="0.25">
      <c r="A103" s="1"/>
      <c r="B103" s="1"/>
      <c r="C103" s="1"/>
      <c r="D103" s="1"/>
      <c r="E103" s="1"/>
    </row>
    <row r="104" spans="1:6" x14ac:dyDescent="0.25">
      <c r="A104" s="20" t="s">
        <v>46</v>
      </c>
      <c r="B104" s="21"/>
      <c r="C104" s="21"/>
      <c r="D104" s="21"/>
      <c r="E104" s="44">
        <f>E93*1.0865</f>
        <v>1611242.6757579411</v>
      </c>
    </row>
    <row r="105" spans="1:6" x14ac:dyDescent="0.25">
      <c r="A105" s="45"/>
      <c r="B105" s="46"/>
      <c r="C105" s="46"/>
      <c r="D105" s="46"/>
      <c r="E105" s="49"/>
    </row>
    <row r="106" spans="1:6" x14ac:dyDescent="0.25">
      <c r="A106" s="20" t="s">
        <v>147</v>
      </c>
      <c r="B106" s="21"/>
      <c r="C106" s="21"/>
      <c r="D106" s="21"/>
      <c r="E106" s="21"/>
    </row>
    <row r="107" spans="1:6" x14ac:dyDescent="0.25">
      <c r="A107" s="45"/>
      <c r="B107" s="46"/>
      <c r="C107" s="46"/>
      <c r="D107" s="46"/>
      <c r="E107" s="46"/>
      <c r="F107" s="47"/>
    </row>
    <row r="108" spans="1:6" ht="25.5" x14ac:dyDescent="0.25">
      <c r="A108" s="16" t="s">
        <v>18</v>
      </c>
      <c r="B108" s="16" t="s">
        <v>27</v>
      </c>
      <c r="C108" s="16" t="s">
        <v>28</v>
      </c>
      <c r="D108" s="29" t="s">
        <v>21</v>
      </c>
      <c r="E108" s="48"/>
    </row>
    <row r="109" spans="1:6" ht="15.75" x14ac:dyDescent="0.25">
      <c r="A109" s="203" t="s">
        <v>78</v>
      </c>
      <c r="B109" s="168" t="s">
        <v>71</v>
      </c>
      <c r="C109" s="38">
        <f>E26*46%</f>
        <v>137132.21261739999</v>
      </c>
      <c r="D109" s="41">
        <f>C109</f>
        <v>137132.21261739999</v>
      </c>
      <c r="E109" s="48"/>
    </row>
    <row r="110" spans="1:6" ht="15.75" x14ac:dyDescent="0.25">
      <c r="A110" s="185"/>
      <c r="B110" s="168"/>
      <c r="C110" s="38"/>
      <c r="D110" s="39"/>
      <c r="E110" s="48"/>
    </row>
    <row r="111" spans="1:6" ht="15.75" x14ac:dyDescent="0.25">
      <c r="A111" s="185"/>
      <c r="B111" s="168"/>
      <c r="C111" s="38"/>
      <c r="D111" s="39"/>
      <c r="E111" s="48"/>
    </row>
    <row r="112" spans="1:6" x14ac:dyDescent="0.25">
      <c r="B112" s="1"/>
      <c r="C112" s="1"/>
      <c r="D112" s="204">
        <f>SUM(D109:D111)</f>
        <v>137132.21261739999</v>
      </c>
      <c r="E112" s="1"/>
    </row>
    <row r="113" spans="1:11" x14ac:dyDescent="0.25">
      <c r="A113" s="33"/>
      <c r="B113" s="1"/>
      <c r="C113" s="1"/>
      <c r="D113" s="1"/>
      <c r="E113" s="1"/>
    </row>
    <row r="114" spans="1:11" x14ac:dyDescent="0.25">
      <c r="A114" s="20" t="s">
        <v>148</v>
      </c>
      <c r="B114" s="21"/>
      <c r="C114" s="21"/>
      <c r="D114" s="21"/>
      <c r="E114" s="21"/>
    </row>
    <row r="115" spans="1:11" x14ac:dyDescent="0.25">
      <c r="A115" s="1"/>
      <c r="B115" s="1"/>
      <c r="C115" s="1"/>
      <c r="D115" s="1"/>
      <c r="E115" s="1"/>
    </row>
    <row r="116" spans="1:11" x14ac:dyDescent="0.25">
      <c r="A116" s="16" t="s">
        <v>18</v>
      </c>
      <c r="B116" s="16" t="s">
        <v>37</v>
      </c>
      <c r="C116" s="1"/>
      <c r="D116" s="1"/>
      <c r="E116" s="1"/>
    </row>
    <row r="117" spans="1:11" x14ac:dyDescent="0.25">
      <c r="A117" s="199" t="s">
        <v>42</v>
      </c>
      <c r="B117" s="188">
        <v>0.05</v>
      </c>
      <c r="C117" s="1"/>
      <c r="D117" s="1"/>
      <c r="E117" s="1"/>
    </row>
    <row r="118" spans="1:11" x14ac:dyDescent="0.25">
      <c r="A118" s="181" t="s">
        <v>43</v>
      </c>
      <c r="B118" s="189">
        <v>6.4999999999999997E-3</v>
      </c>
      <c r="C118" s="1"/>
      <c r="D118" s="1"/>
      <c r="E118" s="205"/>
    </row>
    <row r="119" spans="1:11" x14ac:dyDescent="0.25">
      <c r="A119" s="181" t="s">
        <v>44</v>
      </c>
      <c r="B119" s="189">
        <v>0.03</v>
      </c>
      <c r="C119" s="1"/>
      <c r="D119" s="1"/>
      <c r="E119" s="1"/>
    </row>
    <row r="120" spans="1:11" x14ac:dyDescent="0.25">
      <c r="A120" s="183" t="s">
        <v>75</v>
      </c>
      <c r="B120" s="193">
        <v>7.6799999999999993E-2</v>
      </c>
      <c r="C120" s="1"/>
      <c r="D120" s="1"/>
      <c r="E120" s="1"/>
    </row>
    <row r="121" spans="1:11" x14ac:dyDescent="0.25">
      <c r="A121" s="1"/>
      <c r="B121" s="201"/>
      <c r="C121" s="1"/>
      <c r="D121" s="1"/>
      <c r="E121" s="1"/>
    </row>
    <row r="122" spans="1:11" x14ac:dyDescent="0.25">
      <c r="A122" s="5" t="s">
        <v>45</v>
      </c>
      <c r="B122" s="202">
        <f>SUM(B117:B120)</f>
        <v>0.1633</v>
      </c>
      <c r="C122" s="1"/>
      <c r="D122" s="1"/>
      <c r="E122" s="206"/>
    </row>
    <row r="123" spans="1:11" x14ac:dyDescent="0.25">
      <c r="A123" s="1"/>
      <c r="B123" s="1"/>
      <c r="C123" s="1"/>
      <c r="D123" s="1"/>
      <c r="E123" s="1"/>
    </row>
    <row r="124" spans="1:11" x14ac:dyDescent="0.25">
      <c r="A124" s="207" t="s">
        <v>149</v>
      </c>
      <c r="B124" s="208"/>
      <c r="C124" s="208"/>
      <c r="D124" s="209"/>
      <c r="E124" s="44">
        <f>D112*1.1633</f>
        <v>159525.9029378214</v>
      </c>
    </row>
    <row r="125" spans="1:11" x14ac:dyDescent="0.25">
      <c r="A125" s="1"/>
      <c r="B125" s="1"/>
      <c r="C125" s="1"/>
      <c r="D125" s="1"/>
      <c r="E125" s="1"/>
    </row>
    <row r="126" spans="1:11" ht="15.75" x14ac:dyDescent="0.25">
      <c r="A126" s="17" t="s">
        <v>64</v>
      </c>
      <c r="B126" s="210"/>
      <c r="C126" s="210"/>
      <c r="D126" s="211"/>
      <c r="E126" s="212">
        <f>E104+E124</f>
        <v>1770768.5786957624</v>
      </c>
      <c r="G126" s="213"/>
    </row>
    <row r="127" spans="1:11" x14ac:dyDescent="0.25">
      <c r="A127" s="1"/>
      <c r="B127" s="1"/>
      <c r="C127" s="1"/>
      <c r="D127" s="1"/>
      <c r="E127" s="1"/>
    </row>
    <row r="128" spans="1:11" x14ac:dyDescent="0.25">
      <c r="A128" s="33" t="s">
        <v>47</v>
      </c>
      <c r="B128" s="1"/>
      <c r="C128" s="1"/>
      <c r="D128" s="1"/>
      <c r="E128" s="1"/>
      <c r="G128" s="213" t="s">
        <v>161</v>
      </c>
      <c r="H128" s="213">
        <v>1056889.6867223459</v>
      </c>
      <c r="K128" s="213"/>
    </row>
    <row r="129" spans="1:9" x14ac:dyDescent="0.25">
      <c r="A129" s="8" t="s">
        <v>48</v>
      </c>
      <c r="B129" s="1"/>
      <c r="C129" s="1"/>
      <c r="D129" s="1"/>
      <c r="E129" s="1"/>
    </row>
    <row r="130" spans="1:9" x14ac:dyDescent="0.25">
      <c r="A130" s="9" t="s">
        <v>49</v>
      </c>
      <c r="B130" s="1"/>
      <c r="C130" s="1"/>
      <c r="D130" s="1"/>
      <c r="E130" s="1"/>
    </row>
    <row r="131" spans="1:9" x14ac:dyDescent="0.25">
      <c r="A131" s="9" t="s">
        <v>50</v>
      </c>
      <c r="B131" s="1"/>
      <c r="C131" s="1"/>
      <c r="D131" s="1"/>
      <c r="E131" s="1"/>
    </row>
    <row r="132" spans="1:9" x14ac:dyDescent="0.25">
      <c r="A132" s="9" t="s">
        <v>51</v>
      </c>
      <c r="I132" s="237"/>
    </row>
    <row r="133" spans="1:9" x14ac:dyDescent="0.25">
      <c r="A133" s="9" t="s">
        <v>52</v>
      </c>
    </row>
    <row r="134" spans="1:9" x14ac:dyDescent="0.25">
      <c r="A134" s="9" t="s">
        <v>53</v>
      </c>
    </row>
    <row r="135" spans="1:9" x14ac:dyDescent="0.25">
      <c r="A135" s="9" t="s">
        <v>54</v>
      </c>
    </row>
    <row r="136" spans="1:9" x14ac:dyDescent="0.25">
      <c r="A136" s="8" t="s">
        <v>55</v>
      </c>
    </row>
    <row r="137" spans="1:9" x14ac:dyDescent="0.25">
      <c r="A137" s="9" t="s">
        <v>56</v>
      </c>
    </row>
    <row r="138" spans="1:9" x14ac:dyDescent="0.25">
      <c r="A138" s="9" t="s">
        <v>57</v>
      </c>
    </row>
    <row r="139" spans="1:9" x14ac:dyDescent="0.25">
      <c r="A139" s="11">
        <v>2</v>
      </c>
    </row>
    <row r="140" spans="1:9" x14ac:dyDescent="0.25">
      <c r="A140" s="9" t="s">
        <v>58</v>
      </c>
    </row>
    <row r="141" spans="1:9" x14ac:dyDescent="0.25">
      <c r="A141" s="11">
        <v>3</v>
      </c>
    </row>
    <row r="142" spans="1:9" x14ac:dyDescent="0.25">
      <c r="A142" s="9" t="s">
        <v>59</v>
      </c>
    </row>
    <row r="143" spans="1:9" x14ac:dyDescent="0.25">
      <c r="A143" s="11">
        <v>5</v>
      </c>
    </row>
    <row r="144" spans="1:9" x14ac:dyDescent="0.25">
      <c r="A144" s="9" t="s">
        <v>60</v>
      </c>
    </row>
    <row r="145" spans="1:1" x14ac:dyDescent="0.25">
      <c r="A145" s="9"/>
    </row>
    <row r="146" spans="1:1" x14ac:dyDescent="0.25">
      <c r="A146" s="10" t="s">
        <v>61</v>
      </c>
    </row>
    <row r="147" spans="1:1" x14ac:dyDescent="0.25">
      <c r="A147" s="1"/>
    </row>
    <row r="148" spans="1:1" x14ac:dyDescent="0.25">
      <c r="A148" s="13" t="s">
        <v>62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65" orientation="portrait" r:id="rId1"/>
  <rowBreaks count="2" manualBreakCount="2">
    <brk id="54" max="16383" man="1"/>
    <brk id="12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A70E-C92F-4327-BB51-A3531D6EA11B}">
  <dimension ref="A1:M78"/>
  <sheetViews>
    <sheetView topLeftCell="A19" workbookViewId="0">
      <selection activeCell="H58" sqref="H58"/>
    </sheetView>
  </sheetViews>
  <sheetFormatPr defaultColWidth="7.85546875" defaultRowHeight="15" x14ac:dyDescent="0.2"/>
  <cols>
    <col min="1" max="1" width="29.28515625" style="51" customWidth="1"/>
    <col min="2" max="2" width="14.42578125" style="51" customWidth="1"/>
    <col min="3" max="3" width="16" style="51" customWidth="1"/>
    <col min="4" max="5" width="13.7109375" style="51" customWidth="1"/>
    <col min="6" max="6" width="16.85546875" style="51" customWidth="1"/>
    <col min="7" max="7" width="15.140625" style="51" customWidth="1"/>
    <col min="8" max="8" width="13.7109375" style="51" customWidth="1"/>
    <col min="9" max="9" width="17" style="51" customWidth="1"/>
    <col min="10" max="10" width="13.140625" style="51" bestFit="1" customWidth="1"/>
    <col min="11" max="11" width="15.140625" style="51" customWidth="1"/>
    <col min="12" max="12" width="14.28515625" style="51" bestFit="1" customWidth="1"/>
    <col min="13" max="13" width="16.42578125" style="51" bestFit="1" customWidth="1"/>
    <col min="14" max="256" width="7.85546875" style="51"/>
    <col min="257" max="257" width="29.28515625" style="51" customWidth="1"/>
    <col min="258" max="258" width="14.42578125" style="51" customWidth="1"/>
    <col min="259" max="259" width="16" style="51" customWidth="1"/>
    <col min="260" max="261" width="13.7109375" style="51" customWidth="1"/>
    <col min="262" max="262" width="16.85546875" style="51" customWidth="1"/>
    <col min="263" max="263" width="15.140625" style="51" customWidth="1"/>
    <col min="264" max="264" width="13.7109375" style="51" customWidth="1"/>
    <col min="265" max="265" width="17" style="51" customWidth="1"/>
    <col min="266" max="266" width="13.140625" style="51" bestFit="1" customWidth="1"/>
    <col min="267" max="267" width="7.85546875" style="51"/>
    <col min="268" max="268" width="14.28515625" style="51" bestFit="1" customWidth="1"/>
    <col min="269" max="269" width="16.42578125" style="51" bestFit="1" customWidth="1"/>
    <col min="270" max="512" width="7.85546875" style="51"/>
    <col min="513" max="513" width="29.28515625" style="51" customWidth="1"/>
    <col min="514" max="514" width="14.42578125" style="51" customWidth="1"/>
    <col min="515" max="515" width="16" style="51" customWidth="1"/>
    <col min="516" max="517" width="13.7109375" style="51" customWidth="1"/>
    <col min="518" max="518" width="16.85546875" style="51" customWidth="1"/>
    <col min="519" max="519" width="15.140625" style="51" customWidth="1"/>
    <col min="520" max="520" width="13.7109375" style="51" customWidth="1"/>
    <col min="521" max="521" width="17" style="51" customWidth="1"/>
    <col min="522" max="522" width="13.140625" style="51" bestFit="1" customWidth="1"/>
    <col min="523" max="523" width="7.85546875" style="51"/>
    <col min="524" max="524" width="14.28515625" style="51" bestFit="1" customWidth="1"/>
    <col min="525" max="525" width="16.42578125" style="51" bestFit="1" customWidth="1"/>
    <col min="526" max="768" width="7.85546875" style="51"/>
    <col min="769" max="769" width="29.28515625" style="51" customWidth="1"/>
    <col min="770" max="770" width="14.42578125" style="51" customWidth="1"/>
    <col min="771" max="771" width="16" style="51" customWidth="1"/>
    <col min="772" max="773" width="13.7109375" style="51" customWidth="1"/>
    <col min="774" max="774" width="16.85546875" style="51" customWidth="1"/>
    <col min="775" max="775" width="15.140625" style="51" customWidth="1"/>
    <col min="776" max="776" width="13.7109375" style="51" customWidth="1"/>
    <col min="777" max="777" width="17" style="51" customWidth="1"/>
    <col min="778" max="778" width="13.140625" style="51" bestFit="1" customWidth="1"/>
    <col min="779" max="779" width="7.85546875" style="51"/>
    <col min="780" max="780" width="14.28515625" style="51" bestFit="1" customWidth="1"/>
    <col min="781" max="781" width="16.42578125" style="51" bestFit="1" customWidth="1"/>
    <col min="782" max="1024" width="7.85546875" style="51"/>
    <col min="1025" max="1025" width="29.28515625" style="51" customWidth="1"/>
    <col min="1026" max="1026" width="14.42578125" style="51" customWidth="1"/>
    <col min="1027" max="1027" width="16" style="51" customWidth="1"/>
    <col min="1028" max="1029" width="13.7109375" style="51" customWidth="1"/>
    <col min="1030" max="1030" width="16.85546875" style="51" customWidth="1"/>
    <col min="1031" max="1031" width="15.140625" style="51" customWidth="1"/>
    <col min="1032" max="1032" width="13.7109375" style="51" customWidth="1"/>
    <col min="1033" max="1033" width="17" style="51" customWidth="1"/>
    <col min="1034" max="1034" width="13.140625" style="51" bestFit="1" customWidth="1"/>
    <col min="1035" max="1035" width="7.85546875" style="51"/>
    <col min="1036" max="1036" width="14.28515625" style="51" bestFit="1" customWidth="1"/>
    <col min="1037" max="1037" width="16.42578125" style="51" bestFit="1" customWidth="1"/>
    <col min="1038" max="1280" width="7.85546875" style="51"/>
    <col min="1281" max="1281" width="29.28515625" style="51" customWidth="1"/>
    <col min="1282" max="1282" width="14.42578125" style="51" customWidth="1"/>
    <col min="1283" max="1283" width="16" style="51" customWidth="1"/>
    <col min="1284" max="1285" width="13.7109375" style="51" customWidth="1"/>
    <col min="1286" max="1286" width="16.85546875" style="51" customWidth="1"/>
    <col min="1287" max="1287" width="15.140625" style="51" customWidth="1"/>
    <col min="1288" max="1288" width="13.7109375" style="51" customWidth="1"/>
    <col min="1289" max="1289" width="17" style="51" customWidth="1"/>
    <col min="1290" max="1290" width="13.140625" style="51" bestFit="1" customWidth="1"/>
    <col min="1291" max="1291" width="7.85546875" style="51"/>
    <col min="1292" max="1292" width="14.28515625" style="51" bestFit="1" customWidth="1"/>
    <col min="1293" max="1293" width="16.42578125" style="51" bestFit="1" customWidth="1"/>
    <col min="1294" max="1536" width="7.85546875" style="51"/>
    <col min="1537" max="1537" width="29.28515625" style="51" customWidth="1"/>
    <col min="1538" max="1538" width="14.42578125" style="51" customWidth="1"/>
    <col min="1539" max="1539" width="16" style="51" customWidth="1"/>
    <col min="1540" max="1541" width="13.7109375" style="51" customWidth="1"/>
    <col min="1542" max="1542" width="16.85546875" style="51" customWidth="1"/>
    <col min="1543" max="1543" width="15.140625" style="51" customWidth="1"/>
    <col min="1544" max="1544" width="13.7109375" style="51" customWidth="1"/>
    <col min="1545" max="1545" width="17" style="51" customWidth="1"/>
    <col min="1546" max="1546" width="13.140625" style="51" bestFit="1" customWidth="1"/>
    <col min="1547" max="1547" width="7.85546875" style="51"/>
    <col min="1548" max="1548" width="14.28515625" style="51" bestFit="1" customWidth="1"/>
    <col min="1549" max="1549" width="16.42578125" style="51" bestFit="1" customWidth="1"/>
    <col min="1550" max="1792" width="7.85546875" style="51"/>
    <col min="1793" max="1793" width="29.28515625" style="51" customWidth="1"/>
    <col min="1794" max="1794" width="14.42578125" style="51" customWidth="1"/>
    <col min="1795" max="1795" width="16" style="51" customWidth="1"/>
    <col min="1796" max="1797" width="13.7109375" style="51" customWidth="1"/>
    <col min="1798" max="1798" width="16.85546875" style="51" customWidth="1"/>
    <col min="1799" max="1799" width="15.140625" style="51" customWidth="1"/>
    <col min="1800" max="1800" width="13.7109375" style="51" customWidth="1"/>
    <col min="1801" max="1801" width="17" style="51" customWidth="1"/>
    <col min="1802" max="1802" width="13.140625" style="51" bestFit="1" customWidth="1"/>
    <col min="1803" max="1803" width="7.85546875" style="51"/>
    <col min="1804" max="1804" width="14.28515625" style="51" bestFit="1" customWidth="1"/>
    <col min="1805" max="1805" width="16.42578125" style="51" bestFit="1" customWidth="1"/>
    <col min="1806" max="2048" width="7.85546875" style="51"/>
    <col min="2049" max="2049" width="29.28515625" style="51" customWidth="1"/>
    <col min="2050" max="2050" width="14.42578125" style="51" customWidth="1"/>
    <col min="2051" max="2051" width="16" style="51" customWidth="1"/>
    <col min="2052" max="2053" width="13.7109375" style="51" customWidth="1"/>
    <col min="2054" max="2054" width="16.85546875" style="51" customWidth="1"/>
    <col min="2055" max="2055" width="15.140625" style="51" customWidth="1"/>
    <col min="2056" max="2056" width="13.7109375" style="51" customWidth="1"/>
    <col min="2057" max="2057" width="17" style="51" customWidth="1"/>
    <col min="2058" max="2058" width="13.140625" style="51" bestFit="1" customWidth="1"/>
    <col min="2059" max="2059" width="7.85546875" style="51"/>
    <col min="2060" max="2060" width="14.28515625" style="51" bestFit="1" customWidth="1"/>
    <col min="2061" max="2061" width="16.42578125" style="51" bestFit="1" customWidth="1"/>
    <col min="2062" max="2304" width="7.85546875" style="51"/>
    <col min="2305" max="2305" width="29.28515625" style="51" customWidth="1"/>
    <col min="2306" max="2306" width="14.42578125" style="51" customWidth="1"/>
    <col min="2307" max="2307" width="16" style="51" customWidth="1"/>
    <col min="2308" max="2309" width="13.7109375" style="51" customWidth="1"/>
    <col min="2310" max="2310" width="16.85546875" style="51" customWidth="1"/>
    <col min="2311" max="2311" width="15.140625" style="51" customWidth="1"/>
    <col min="2312" max="2312" width="13.7109375" style="51" customWidth="1"/>
    <col min="2313" max="2313" width="17" style="51" customWidth="1"/>
    <col min="2314" max="2314" width="13.140625" style="51" bestFit="1" customWidth="1"/>
    <col min="2315" max="2315" width="7.85546875" style="51"/>
    <col min="2316" max="2316" width="14.28515625" style="51" bestFit="1" customWidth="1"/>
    <col min="2317" max="2317" width="16.42578125" style="51" bestFit="1" customWidth="1"/>
    <col min="2318" max="2560" width="7.85546875" style="51"/>
    <col min="2561" max="2561" width="29.28515625" style="51" customWidth="1"/>
    <col min="2562" max="2562" width="14.42578125" style="51" customWidth="1"/>
    <col min="2563" max="2563" width="16" style="51" customWidth="1"/>
    <col min="2564" max="2565" width="13.7109375" style="51" customWidth="1"/>
    <col min="2566" max="2566" width="16.85546875" style="51" customWidth="1"/>
    <col min="2567" max="2567" width="15.140625" style="51" customWidth="1"/>
    <col min="2568" max="2568" width="13.7109375" style="51" customWidth="1"/>
    <col min="2569" max="2569" width="17" style="51" customWidth="1"/>
    <col min="2570" max="2570" width="13.140625" style="51" bestFit="1" customWidth="1"/>
    <col min="2571" max="2571" width="7.85546875" style="51"/>
    <col min="2572" max="2572" width="14.28515625" style="51" bestFit="1" customWidth="1"/>
    <col min="2573" max="2573" width="16.42578125" style="51" bestFit="1" customWidth="1"/>
    <col min="2574" max="2816" width="7.85546875" style="51"/>
    <col min="2817" max="2817" width="29.28515625" style="51" customWidth="1"/>
    <col min="2818" max="2818" width="14.42578125" style="51" customWidth="1"/>
    <col min="2819" max="2819" width="16" style="51" customWidth="1"/>
    <col min="2820" max="2821" width="13.7109375" style="51" customWidth="1"/>
    <col min="2822" max="2822" width="16.85546875" style="51" customWidth="1"/>
    <col min="2823" max="2823" width="15.140625" style="51" customWidth="1"/>
    <col min="2824" max="2824" width="13.7109375" style="51" customWidth="1"/>
    <col min="2825" max="2825" width="17" style="51" customWidth="1"/>
    <col min="2826" max="2826" width="13.140625" style="51" bestFit="1" customWidth="1"/>
    <col min="2827" max="2827" width="7.85546875" style="51"/>
    <col min="2828" max="2828" width="14.28515625" style="51" bestFit="1" customWidth="1"/>
    <col min="2829" max="2829" width="16.42578125" style="51" bestFit="1" customWidth="1"/>
    <col min="2830" max="3072" width="7.85546875" style="51"/>
    <col min="3073" max="3073" width="29.28515625" style="51" customWidth="1"/>
    <col min="3074" max="3074" width="14.42578125" style="51" customWidth="1"/>
    <col min="3075" max="3075" width="16" style="51" customWidth="1"/>
    <col min="3076" max="3077" width="13.7109375" style="51" customWidth="1"/>
    <col min="3078" max="3078" width="16.85546875" style="51" customWidth="1"/>
    <col min="3079" max="3079" width="15.140625" style="51" customWidth="1"/>
    <col min="3080" max="3080" width="13.7109375" style="51" customWidth="1"/>
    <col min="3081" max="3081" width="17" style="51" customWidth="1"/>
    <col min="3082" max="3082" width="13.140625" style="51" bestFit="1" customWidth="1"/>
    <col min="3083" max="3083" width="7.85546875" style="51"/>
    <col min="3084" max="3084" width="14.28515625" style="51" bestFit="1" customWidth="1"/>
    <col min="3085" max="3085" width="16.42578125" style="51" bestFit="1" customWidth="1"/>
    <col min="3086" max="3328" width="7.85546875" style="51"/>
    <col min="3329" max="3329" width="29.28515625" style="51" customWidth="1"/>
    <col min="3330" max="3330" width="14.42578125" style="51" customWidth="1"/>
    <col min="3331" max="3331" width="16" style="51" customWidth="1"/>
    <col min="3332" max="3333" width="13.7109375" style="51" customWidth="1"/>
    <col min="3334" max="3334" width="16.85546875" style="51" customWidth="1"/>
    <col min="3335" max="3335" width="15.140625" style="51" customWidth="1"/>
    <col min="3336" max="3336" width="13.7109375" style="51" customWidth="1"/>
    <col min="3337" max="3337" width="17" style="51" customWidth="1"/>
    <col min="3338" max="3338" width="13.140625" style="51" bestFit="1" customWidth="1"/>
    <col min="3339" max="3339" width="7.85546875" style="51"/>
    <col min="3340" max="3340" width="14.28515625" style="51" bestFit="1" customWidth="1"/>
    <col min="3341" max="3341" width="16.42578125" style="51" bestFit="1" customWidth="1"/>
    <col min="3342" max="3584" width="7.85546875" style="51"/>
    <col min="3585" max="3585" width="29.28515625" style="51" customWidth="1"/>
    <col min="3586" max="3586" width="14.42578125" style="51" customWidth="1"/>
    <col min="3587" max="3587" width="16" style="51" customWidth="1"/>
    <col min="3588" max="3589" width="13.7109375" style="51" customWidth="1"/>
    <col min="3590" max="3590" width="16.85546875" style="51" customWidth="1"/>
    <col min="3591" max="3591" width="15.140625" style="51" customWidth="1"/>
    <col min="3592" max="3592" width="13.7109375" style="51" customWidth="1"/>
    <col min="3593" max="3593" width="17" style="51" customWidth="1"/>
    <col min="3594" max="3594" width="13.140625" style="51" bestFit="1" customWidth="1"/>
    <col min="3595" max="3595" width="7.85546875" style="51"/>
    <col min="3596" max="3596" width="14.28515625" style="51" bestFit="1" customWidth="1"/>
    <col min="3597" max="3597" width="16.42578125" style="51" bestFit="1" customWidth="1"/>
    <col min="3598" max="3840" width="7.85546875" style="51"/>
    <col min="3841" max="3841" width="29.28515625" style="51" customWidth="1"/>
    <col min="3842" max="3842" width="14.42578125" style="51" customWidth="1"/>
    <col min="3843" max="3843" width="16" style="51" customWidth="1"/>
    <col min="3844" max="3845" width="13.7109375" style="51" customWidth="1"/>
    <col min="3846" max="3846" width="16.85546875" style="51" customWidth="1"/>
    <col min="3847" max="3847" width="15.140625" style="51" customWidth="1"/>
    <col min="3848" max="3848" width="13.7109375" style="51" customWidth="1"/>
    <col min="3849" max="3849" width="17" style="51" customWidth="1"/>
    <col min="3850" max="3850" width="13.140625" style="51" bestFit="1" customWidth="1"/>
    <col min="3851" max="3851" width="7.85546875" style="51"/>
    <col min="3852" max="3852" width="14.28515625" style="51" bestFit="1" customWidth="1"/>
    <col min="3853" max="3853" width="16.42578125" style="51" bestFit="1" customWidth="1"/>
    <col min="3854" max="4096" width="7.85546875" style="51"/>
    <col min="4097" max="4097" width="29.28515625" style="51" customWidth="1"/>
    <col min="4098" max="4098" width="14.42578125" style="51" customWidth="1"/>
    <col min="4099" max="4099" width="16" style="51" customWidth="1"/>
    <col min="4100" max="4101" width="13.7109375" style="51" customWidth="1"/>
    <col min="4102" max="4102" width="16.85546875" style="51" customWidth="1"/>
    <col min="4103" max="4103" width="15.140625" style="51" customWidth="1"/>
    <col min="4104" max="4104" width="13.7109375" style="51" customWidth="1"/>
    <col min="4105" max="4105" width="17" style="51" customWidth="1"/>
    <col min="4106" max="4106" width="13.140625" style="51" bestFit="1" customWidth="1"/>
    <col min="4107" max="4107" width="7.85546875" style="51"/>
    <col min="4108" max="4108" width="14.28515625" style="51" bestFit="1" customWidth="1"/>
    <col min="4109" max="4109" width="16.42578125" style="51" bestFit="1" customWidth="1"/>
    <col min="4110" max="4352" width="7.85546875" style="51"/>
    <col min="4353" max="4353" width="29.28515625" style="51" customWidth="1"/>
    <col min="4354" max="4354" width="14.42578125" style="51" customWidth="1"/>
    <col min="4355" max="4355" width="16" style="51" customWidth="1"/>
    <col min="4356" max="4357" width="13.7109375" style="51" customWidth="1"/>
    <col min="4358" max="4358" width="16.85546875" style="51" customWidth="1"/>
    <col min="4359" max="4359" width="15.140625" style="51" customWidth="1"/>
    <col min="4360" max="4360" width="13.7109375" style="51" customWidth="1"/>
    <col min="4361" max="4361" width="17" style="51" customWidth="1"/>
    <col min="4362" max="4362" width="13.140625" style="51" bestFit="1" customWidth="1"/>
    <col min="4363" max="4363" width="7.85546875" style="51"/>
    <col min="4364" max="4364" width="14.28515625" style="51" bestFit="1" customWidth="1"/>
    <col min="4365" max="4365" width="16.42578125" style="51" bestFit="1" customWidth="1"/>
    <col min="4366" max="4608" width="7.85546875" style="51"/>
    <col min="4609" max="4609" width="29.28515625" style="51" customWidth="1"/>
    <col min="4610" max="4610" width="14.42578125" style="51" customWidth="1"/>
    <col min="4611" max="4611" width="16" style="51" customWidth="1"/>
    <col min="4612" max="4613" width="13.7109375" style="51" customWidth="1"/>
    <col min="4614" max="4614" width="16.85546875" style="51" customWidth="1"/>
    <col min="4615" max="4615" width="15.140625" style="51" customWidth="1"/>
    <col min="4616" max="4616" width="13.7109375" style="51" customWidth="1"/>
    <col min="4617" max="4617" width="17" style="51" customWidth="1"/>
    <col min="4618" max="4618" width="13.140625" style="51" bestFit="1" customWidth="1"/>
    <col min="4619" max="4619" width="7.85546875" style="51"/>
    <col min="4620" max="4620" width="14.28515625" style="51" bestFit="1" customWidth="1"/>
    <col min="4621" max="4621" width="16.42578125" style="51" bestFit="1" customWidth="1"/>
    <col min="4622" max="4864" width="7.85546875" style="51"/>
    <col min="4865" max="4865" width="29.28515625" style="51" customWidth="1"/>
    <col min="4866" max="4866" width="14.42578125" style="51" customWidth="1"/>
    <col min="4867" max="4867" width="16" style="51" customWidth="1"/>
    <col min="4868" max="4869" width="13.7109375" style="51" customWidth="1"/>
    <col min="4870" max="4870" width="16.85546875" style="51" customWidth="1"/>
    <col min="4871" max="4871" width="15.140625" style="51" customWidth="1"/>
    <col min="4872" max="4872" width="13.7109375" style="51" customWidth="1"/>
    <col min="4873" max="4873" width="17" style="51" customWidth="1"/>
    <col min="4874" max="4874" width="13.140625" style="51" bestFit="1" customWidth="1"/>
    <col min="4875" max="4875" width="7.85546875" style="51"/>
    <col min="4876" max="4876" width="14.28515625" style="51" bestFit="1" customWidth="1"/>
    <col min="4877" max="4877" width="16.42578125" style="51" bestFit="1" customWidth="1"/>
    <col min="4878" max="5120" width="7.85546875" style="51"/>
    <col min="5121" max="5121" width="29.28515625" style="51" customWidth="1"/>
    <col min="5122" max="5122" width="14.42578125" style="51" customWidth="1"/>
    <col min="5123" max="5123" width="16" style="51" customWidth="1"/>
    <col min="5124" max="5125" width="13.7109375" style="51" customWidth="1"/>
    <col min="5126" max="5126" width="16.85546875" style="51" customWidth="1"/>
    <col min="5127" max="5127" width="15.140625" style="51" customWidth="1"/>
    <col min="5128" max="5128" width="13.7109375" style="51" customWidth="1"/>
    <col min="5129" max="5129" width="17" style="51" customWidth="1"/>
    <col min="5130" max="5130" width="13.140625" style="51" bestFit="1" customWidth="1"/>
    <col min="5131" max="5131" width="7.85546875" style="51"/>
    <col min="5132" max="5132" width="14.28515625" style="51" bestFit="1" customWidth="1"/>
    <col min="5133" max="5133" width="16.42578125" style="51" bestFit="1" customWidth="1"/>
    <col min="5134" max="5376" width="7.85546875" style="51"/>
    <col min="5377" max="5377" width="29.28515625" style="51" customWidth="1"/>
    <col min="5378" max="5378" width="14.42578125" style="51" customWidth="1"/>
    <col min="5379" max="5379" width="16" style="51" customWidth="1"/>
    <col min="5380" max="5381" width="13.7109375" style="51" customWidth="1"/>
    <col min="5382" max="5382" width="16.85546875" style="51" customWidth="1"/>
    <col min="5383" max="5383" width="15.140625" style="51" customWidth="1"/>
    <col min="5384" max="5384" width="13.7109375" style="51" customWidth="1"/>
    <col min="5385" max="5385" width="17" style="51" customWidth="1"/>
    <col min="5386" max="5386" width="13.140625" style="51" bestFit="1" customWidth="1"/>
    <col min="5387" max="5387" width="7.85546875" style="51"/>
    <col min="5388" max="5388" width="14.28515625" style="51" bestFit="1" customWidth="1"/>
    <col min="5389" max="5389" width="16.42578125" style="51" bestFit="1" customWidth="1"/>
    <col min="5390" max="5632" width="7.85546875" style="51"/>
    <col min="5633" max="5633" width="29.28515625" style="51" customWidth="1"/>
    <col min="5634" max="5634" width="14.42578125" style="51" customWidth="1"/>
    <col min="5635" max="5635" width="16" style="51" customWidth="1"/>
    <col min="5636" max="5637" width="13.7109375" style="51" customWidth="1"/>
    <col min="5638" max="5638" width="16.85546875" style="51" customWidth="1"/>
    <col min="5639" max="5639" width="15.140625" style="51" customWidth="1"/>
    <col min="5640" max="5640" width="13.7109375" style="51" customWidth="1"/>
    <col min="5641" max="5641" width="17" style="51" customWidth="1"/>
    <col min="5642" max="5642" width="13.140625" style="51" bestFit="1" customWidth="1"/>
    <col min="5643" max="5643" width="7.85546875" style="51"/>
    <col min="5644" max="5644" width="14.28515625" style="51" bestFit="1" customWidth="1"/>
    <col min="5645" max="5645" width="16.42578125" style="51" bestFit="1" customWidth="1"/>
    <col min="5646" max="5888" width="7.85546875" style="51"/>
    <col min="5889" max="5889" width="29.28515625" style="51" customWidth="1"/>
    <col min="5890" max="5890" width="14.42578125" style="51" customWidth="1"/>
    <col min="5891" max="5891" width="16" style="51" customWidth="1"/>
    <col min="5892" max="5893" width="13.7109375" style="51" customWidth="1"/>
    <col min="5894" max="5894" width="16.85546875" style="51" customWidth="1"/>
    <col min="5895" max="5895" width="15.140625" style="51" customWidth="1"/>
    <col min="5896" max="5896" width="13.7109375" style="51" customWidth="1"/>
    <col min="5897" max="5897" width="17" style="51" customWidth="1"/>
    <col min="5898" max="5898" width="13.140625" style="51" bestFit="1" customWidth="1"/>
    <col min="5899" max="5899" width="7.85546875" style="51"/>
    <col min="5900" max="5900" width="14.28515625" style="51" bestFit="1" customWidth="1"/>
    <col min="5901" max="5901" width="16.42578125" style="51" bestFit="1" customWidth="1"/>
    <col min="5902" max="6144" width="7.85546875" style="51"/>
    <col min="6145" max="6145" width="29.28515625" style="51" customWidth="1"/>
    <col min="6146" max="6146" width="14.42578125" style="51" customWidth="1"/>
    <col min="6147" max="6147" width="16" style="51" customWidth="1"/>
    <col min="6148" max="6149" width="13.7109375" style="51" customWidth="1"/>
    <col min="6150" max="6150" width="16.85546875" style="51" customWidth="1"/>
    <col min="6151" max="6151" width="15.140625" style="51" customWidth="1"/>
    <col min="6152" max="6152" width="13.7109375" style="51" customWidth="1"/>
    <col min="6153" max="6153" width="17" style="51" customWidth="1"/>
    <col min="6154" max="6154" width="13.140625" style="51" bestFit="1" customWidth="1"/>
    <col min="6155" max="6155" width="7.85546875" style="51"/>
    <col min="6156" max="6156" width="14.28515625" style="51" bestFit="1" customWidth="1"/>
    <col min="6157" max="6157" width="16.42578125" style="51" bestFit="1" customWidth="1"/>
    <col min="6158" max="6400" width="7.85546875" style="51"/>
    <col min="6401" max="6401" width="29.28515625" style="51" customWidth="1"/>
    <col min="6402" max="6402" width="14.42578125" style="51" customWidth="1"/>
    <col min="6403" max="6403" width="16" style="51" customWidth="1"/>
    <col min="6404" max="6405" width="13.7109375" style="51" customWidth="1"/>
    <col min="6406" max="6406" width="16.85546875" style="51" customWidth="1"/>
    <col min="6407" max="6407" width="15.140625" style="51" customWidth="1"/>
    <col min="6408" max="6408" width="13.7109375" style="51" customWidth="1"/>
    <col min="6409" max="6409" width="17" style="51" customWidth="1"/>
    <col min="6410" max="6410" width="13.140625" style="51" bestFit="1" customWidth="1"/>
    <col min="6411" max="6411" width="7.85546875" style="51"/>
    <col min="6412" max="6412" width="14.28515625" style="51" bestFit="1" customWidth="1"/>
    <col min="6413" max="6413" width="16.42578125" style="51" bestFit="1" customWidth="1"/>
    <col min="6414" max="6656" width="7.85546875" style="51"/>
    <col min="6657" max="6657" width="29.28515625" style="51" customWidth="1"/>
    <col min="6658" max="6658" width="14.42578125" style="51" customWidth="1"/>
    <col min="6659" max="6659" width="16" style="51" customWidth="1"/>
    <col min="6660" max="6661" width="13.7109375" style="51" customWidth="1"/>
    <col min="6662" max="6662" width="16.85546875" style="51" customWidth="1"/>
    <col min="6663" max="6663" width="15.140625" style="51" customWidth="1"/>
    <col min="6664" max="6664" width="13.7109375" style="51" customWidth="1"/>
    <col min="6665" max="6665" width="17" style="51" customWidth="1"/>
    <col min="6666" max="6666" width="13.140625" style="51" bestFit="1" customWidth="1"/>
    <col min="6667" max="6667" width="7.85546875" style="51"/>
    <col min="6668" max="6668" width="14.28515625" style="51" bestFit="1" customWidth="1"/>
    <col min="6669" max="6669" width="16.42578125" style="51" bestFit="1" customWidth="1"/>
    <col min="6670" max="6912" width="7.85546875" style="51"/>
    <col min="6913" max="6913" width="29.28515625" style="51" customWidth="1"/>
    <col min="6914" max="6914" width="14.42578125" style="51" customWidth="1"/>
    <col min="6915" max="6915" width="16" style="51" customWidth="1"/>
    <col min="6916" max="6917" width="13.7109375" style="51" customWidth="1"/>
    <col min="6918" max="6918" width="16.85546875" style="51" customWidth="1"/>
    <col min="6919" max="6919" width="15.140625" style="51" customWidth="1"/>
    <col min="6920" max="6920" width="13.7109375" style="51" customWidth="1"/>
    <col min="6921" max="6921" width="17" style="51" customWidth="1"/>
    <col min="6922" max="6922" width="13.140625" style="51" bestFit="1" customWidth="1"/>
    <col min="6923" max="6923" width="7.85546875" style="51"/>
    <col min="6924" max="6924" width="14.28515625" style="51" bestFit="1" customWidth="1"/>
    <col min="6925" max="6925" width="16.42578125" style="51" bestFit="1" customWidth="1"/>
    <col min="6926" max="7168" width="7.85546875" style="51"/>
    <col min="7169" max="7169" width="29.28515625" style="51" customWidth="1"/>
    <col min="7170" max="7170" width="14.42578125" style="51" customWidth="1"/>
    <col min="7171" max="7171" width="16" style="51" customWidth="1"/>
    <col min="7172" max="7173" width="13.7109375" style="51" customWidth="1"/>
    <col min="7174" max="7174" width="16.85546875" style="51" customWidth="1"/>
    <col min="7175" max="7175" width="15.140625" style="51" customWidth="1"/>
    <col min="7176" max="7176" width="13.7109375" style="51" customWidth="1"/>
    <col min="7177" max="7177" width="17" style="51" customWidth="1"/>
    <col min="7178" max="7178" width="13.140625" style="51" bestFit="1" customWidth="1"/>
    <col min="7179" max="7179" width="7.85546875" style="51"/>
    <col min="7180" max="7180" width="14.28515625" style="51" bestFit="1" customWidth="1"/>
    <col min="7181" max="7181" width="16.42578125" style="51" bestFit="1" customWidth="1"/>
    <col min="7182" max="7424" width="7.85546875" style="51"/>
    <col min="7425" max="7425" width="29.28515625" style="51" customWidth="1"/>
    <col min="7426" max="7426" width="14.42578125" style="51" customWidth="1"/>
    <col min="7427" max="7427" width="16" style="51" customWidth="1"/>
    <col min="7428" max="7429" width="13.7109375" style="51" customWidth="1"/>
    <col min="7430" max="7430" width="16.85546875" style="51" customWidth="1"/>
    <col min="7431" max="7431" width="15.140625" style="51" customWidth="1"/>
    <col min="7432" max="7432" width="13.7109375" style="51" customWidth="1"/>
    <col min="7433" max="7433" width="17" style="51" customWidth="1"/>
    <col min="7434" max="7434" width="13.140625" style="51" bestFit="1" customWidth="1"/>
    <col min="7435" max="7435" width="7.85546875" style="51"/>
    <col min="7436" max="7436" width="14.28515625" style="51" bestFit="1" customWidth="1"/>
    <col min="7437" max="7437" width="16.42578125" style="51" bestFit="1" customWidth="1"/>
    <col min="7438" max="7680" width="7.85546875" style="51"/>
    <col min="7681" max="7681" width="29.28515625" style="51" customWidth="1"/>
    <col min="7682" max="7682" width="14.42578125" style="51" customWidth="1"/>
    <col min="7683" max="7683" width="16" style="51" customWidth="1"/>
    <col min="7684" max="7685" width="13.7109375" style="51" customWidth="1"/>
    <col min="7686" max="7686" width="16.85546875" style="51" customWidth="1"/>
    <col min="7687" max="7687" width="15.140625" style="51" customWidth="1"/>
    <col min="7688" max="7688" width="13.7109375" style="51" customWidth="1"/>
    <col min="7689" max="7689" width="17" style="51" customWidth="1"/>
    <col min="7690" max="7690" width="13.140625" style="51" bestFit="1" customWidth="1"/>
    <col min="7691" max="7691" width="7.85546875" style="51"/>
    <col min="7692" max="7692" width="14.28515625" style="51" bestFit="1" customWidth="1"/>
    <col min="7693" max="7693" width="16.42578125" style="51" bestFit="1" customWidth="1"/>
    <col min="7694" max="7936" width="7.85546875" style="51"/>
    <col min="7937" max="7937" width="29.28515625" style="51" customWidth="1"/>
    <col min="7938" max="7938" width="14.42578125" style="51" customWidth="1"/>
    <col min="7939" max="7939" width="16" style="51" customWidth="1"/>
    <col min="7940" max="7941" width="13.7109375" style="51" customWidth="1"/>
    <col min="7942" max="7942" width="16.85546875" style="51" customWidth="1"/>
    <col min="7943" max="7943" width="15.140625" style="51" customWidth="1"/>
    <col min="7944" max="7944" width="13.7109375" style="51" customWidth="1"/>
    <col min="7945" max="7945" width="17" style="51" customWidth="1"/>
    <col min="7946" max="7946" width="13.140625" style="51" bestFit="1" customWidth="1"/>
    <col min="7947" max="7947" width="7.85546875" style="51"/>
    <col min="7948" max="7948" width="14.28515625" style="51" bestFit="1" customWidth="1"/>
    <col min="7949" max="7949" width="16.42578125" style="51" bestFit="1" customWidth="1"/>
    <col min="7950" max="8192" width="7.85546875" style="51"/>
    <col min="8193" max="8193" width="29.28515625" style="51" customWidth="1"/>
    <col min="8194" max="8194" width="14.42578125" style="51" customWidth="1"/>
    <col min="8195" max="8195" width="16" style="51" customWidth="1"/>
    <col min="8196" max="8197" width="13.7109375" style="51" customWidth="1"/>
    <col min="8198" max="8198" width="16.85546875" style="51" customWidth="1"/>
    <col min="8199" max="8199" width="15.140625" style="51" customWidth="1"/>
    <col min="8200" max="8200" width="13.7109375" style="51" customWidth="1"/>
    <col min="8201" max="8201" width="17" style="51" customWidth="1"/>
    <col min="8202" max="8202" width="13.140625" style="51" bestFit="1" customWidth="1"/>
    <col min="8203" max="8203" width="7.85546875" style="51"/>
    <col min="8204" max="8204" width="14.28515625" style="51" bestFit="1" customWidth="1"/>
    <col min="8205" max="8205" width="16.42578125" style="51" bestFit="1" customWidth="1"/>
    <col min="8206" max="8448" width="7.85546875" style="51"/>
    <col min="8449" max="8449" width="29.28515625" style="51" customWidth="1"/>
    <col min="8450" max="8450" width="14.42578125" style="51" customWidth="1"/>
    <col min="8451" max="8451" width="16" style="51" customWidth="1"/>
    <col min="8452" max="8453" width="13.7109375" style="51" customWidth="1"/>
    <col min="8454" max="8454" width="16.85546875" style="51" customWidth="1"/>
    <col min="8455" max="8455" width="15.140625" style="51" customWidth="1"/>
    <col min="8456" max="8456" width="13.7109375" style="51" customWidth="1"/>
    <col min="8457" max="8457" width="17" style="51" customWidth="1"/>
    <col min="8458" max="8458" width="13.140625" style="51" bestFit="1" customWidth="1"/>
    <col min="8459" max="8459" width="7.85546875" style="51"/>
    <col min="8460" max="8460" width="14.28515625" style="51" bestFit="1" customWidth="1"/>
    <col min="8461" max="8461" width="16.42578125" style="51" bestFit="1" customWidth="1"/>
    <col min="8462" max="8704" width="7.85546875" style="51"/>
    <col min="8705" max="8705" width="29.28515625" style="51" customWidth="1"/>
    <col min="8706" max="8706" width="14.42578125" style="51" customWidth="1"/>
    <col min="8707" max="8707" width="16" style="51" customWidth="1"/>
    <col min="8708" max="8709" width="13.7109375" style="51" customWidth="1"/>
    <col min="8710" max="8710" width="16.85546875" style="51" customWidth="1"/>
    <col min="8711" max="8711" width="15.140625" style="51" customWidth="1"/>
    <col min="8712" max="8712" width="13.7109375" style="51" customWidth="1"/>
    <col min="8713" max="8713" width="17" style="51" customWidth="1"/>
    <col min="8714" max="8714" width="13.140625" style="51" bestFit="1" customWidth="1"/>
    <col min="8715" max="8715" width="7.85546875" style="51"/>
    <col min="8716" max="8716" width="14.28515625" style="51" bestFit="1" customWidth="1"/>
    <col min="8717" max="8717" width="16.42578125" style="51" bestFit="1" customWidth="1"/>
    <col min="8718" max="8960" width="7.85546875" style="51"/>
    <col min="8961" max="8961" width="29.28515625" style="51" customWidth="1"/>
    <col min="8962" max="8962" width="14.42578125" style="51" customWidth="1"/>
    <col min="8963" max="8963" width="16" style="51" customWidth="1"/>
    <col min="8964" max="8965" width="13.7109375" style="51" customWidth="1"/>
    <col min="8966" max="8966" width="16.85546875" style="51" customWidth="1"/>
    <col min="8967" max="8967" width="15.140625" style="51" customWidth="1"/>
    <col min="8968" max="8968" width="13.7109375" style="51" customWidth="1"/>
    <col min="8969" max="8969" width="17" style="51" customWidth="1"/>
    <col min="8970" max="8970" width="13.140625" style="51" bestFit="1" customWidth="1"/>
    <col min="8971" max="8971" width="7.85546875" style="51"/>
    <col min="8972" max="8972" width="14.28515625" style="51" bestFit="1" customWidth="1"/>
    <col min="8973" max="8973" width="16.42578125" style="51" bestFit="1" customWidth="1"/>
    <col min="8974" max="9216" width="7.85546875" style="51"/>
    <col min="9217" max="9217" width="29.28515625" style="51" customWidth="1"/>
    <col min="9218" max="9218" width="14.42578125" style="51" customWidth="1"/>
    <col min="9219" max="9219" width="16" style="51" customWidth="1"/>
    <col min="9220" max="9221" width="13.7109375" style="51" customWidth="1"/>
    <col min="9222" max="9222" width="16.85546875" style="51" customWidth="1"/>
    <col min="9223" max="9223" width="15.140625" style="51" customWidth="1"/>
    <col min="9224" max="9224" width="13.7109375" style="51" customWidth="1"/>
    <col min="9225" max="9225" width="17" style="51" customWidth="1"/>
    <col min="9226" max="9226" width="13.140625" style="51" bestFit="1" customWidth="1"/>
    <col min="9227" max="9227" width="7.85546875" style="51"/>
    <col min="9228" max="9228" width="14.28515625" style="51" bestFit="1" customWidth="1"/>
    <col min="9229" max="9229" width="16.42578125" style="51" bestFit="1" customWidth="1"/>
    <col min="9230" max="9472" width="7.85546875" style="51"/>
    <col min="9473" max="9473" width="29.28515625" style="51" customWidth="1"/>
    <col min="9474" max="9474" width="14.42578125" style="51" customWidth="1"/>
    <col min="9475" max="9475" width="16" style="51" customWidth="1"/>
    <col min="9476" max="9477" width="13.7109375" style="51" customWidth="1"/>
    <col min="9478" max="9478" width="16.85546875" style="51" customWidth="1"/>
    <col min="9479" max="9479" width="15.140625" style="51" customWidth="1"/>
    <col min="9480" max="9480" width="13.7109375" style="51" customWidth="1"/>
    <col min="9481" max="9481" width="17" style="51" customWidth="1"/>
    <col min="9482" max="9482" width="13.140625" style="51" bestFit="1" customWidth="1"/>
    <col min="9483" max="9483" width="7.85546875" style="51"/>
    <col min="9484" max="9484" width="14.28515625" style="51" bestFit="1" customWidth="1"/>
    <col min="9485" max="9485" width="16.42578125" style="51" bestFit="1" customWidth="1"/>
    <col min="9486" max="9728" width="7.85546875" style="51"/>
    <col min="9729" max="9729" width="29.28515625" style="51" customWidth="1"/>
    <col min="9730" max="9730" width="14.42578125" style="51" customWidth="1"/>
    <col min="9731" max="9731" width="16" style="51" customWidth="1"/>
    <col min="9732" max="9733" width="13.7109375" style="51" customWidth="1"/>
    <col min="9734" max="9734" width="16.85546875" style="51" customWidth="1"/>
    <col min="9735" max="9735" width="15.140625" style="51" customWidth="1"/>
    <col min="9736" max="9736" width="13.7109375" style="51" customWidth="1"/>
    <col min="9737" max="9737" width="17" style="51" customWidth="1"/>
    <col min="9738" max="9738" width="13.140625" style="51" bestFit="1" customWidth="1"/>
    <col min="9739" max="9739" width="7.85546875" style="51"/>
    <col min="9740" max="9740" width="14.28515625" style="51" bestFit="1" customWidth="1"/>
    <col min="9741" max="9741" width="16.42578125" style="51" bestFit="1" customWidth="1"/>
    <col min="9742" max="9984" width="7.85546875" style="51"/>
    <col min="9985" max="9985" width="29.28515625" style="51" customWidth="1"/>
    <col min="9986" max="9986" width="14.42578125" style="51" customWidth="1"/>
    <col min="9987" max="9987" width="16" style="51" customWidth="1"/>
    <col min="9988" max="9989" width="13.7109375" style="51" customWidth="1"/>
    <col min="9990" max="9990" width="16.85546875" style="51" customWidth="1"/>
    <col min="9991" max="9991" width="15.140625" style="51" customWidth="1"/>
    <col min="9992" max="9992" width="13.7109375" style="51" customWidth="1"/>
    <col min="9993" max="9993" width="17" style="51" customWidth="1"/>
    <col min="9994" max="9994" width="13.140625" style="51" bestFit="1" customWidth="1"/>
    <col min="9995" max="9995" width="7.85546875" style="51"/>
    <col min="9996" max="9996" width="14.28515625" style="51" bestFit="1" customWidth="1"/>
    <col min="9997" max="9997" width="16.42578125" style="51" bestFit="1" customWidth="1"/>
    <col min="9998" max="10240" width="7.85546875" style="51"/>
    <col min="10241" max="10241" width="29.28515625" style="51" customWidth="1"/>
    <col min="10242" max="10242" width="14.42578125" style="51" customWidth="1"/>
    <col min="10243" max="10243" width="16" style="51" customWidth="1"/>
    <col min="10244" max="10245" width="13.7109375" style="51" customWidth="1"/>
    <col min="10246" max="10246" width="16.85546875" style="51" customWidth="1"/>
    <col min="10247" max="10247" width="15.140625" style="51" customWidth="1"/>
    <col min="10248" max="10248" width="13.7109375" style="51" customWidth="1"/>
    <col min="10249" max="10249" width="17" style="51" customWidth="1"/>
    <col min="10250" max="10250" width="13.140625" style="51" bestFit="1" customWidth="1"/>
    <col min="10251" max="10251" width="7.85546875" style="51"/>
    <col min="10252" max="10252" width="14.28515625" style="51" bestFit="1" customWidth="1"/>
    <col min="10253" max="10253" width="16.42578125" style="51" bestFit="1" customWidth="1"/>
    <col min="10254" max="10496" width="7.85546875" style="51"/>
    <col min="10497" max="10497" width="29.28515625" style="51" customWidth="1"/>
    <col min="10498" max="10498" width="14.42578125" style="51" customWidth="1"/>
    <col min="10499" max="10499" width="16" style="51" customWidth="1"/>
    <col min="10500" max="10501" width="13.7109375" style="51" customWidth="1"/>
    <col min="10502" max="10502" width="16.85546875" style="51" customWidth="1"/>
    <col min="10503" max="10503" width="15.140625" style="51" customWidth="1"/>
    <col min="10504" max="10504" width="13.7109375" style="51" customWidth="1"/>
    <col min="10505" max="10505" width="17" style="51" customWidth="1"/>
    <col min="10506" max="10506" width="13.140625" style="51" bestFit="1" customWidth="1"/>
    <col min="10507" max="10507" width="7.85546875" style="51"/>
    <col min="10508" max="10508" width="14.28515625" style="51" bestFit="1" customWidth="1"/>
    <col min="10509" max="10509" width="16.42578125" style="51" bestFit="1" customWidth="1"/>
    <col min="10510" max="10752" width="7.85546875" style="51"/>
    <col min="10753" max="10753" width="29.28515625" style="51" customWidth="1"/>
    <col min="10754" max="10754" width="14.42578125" style="51" customWidth="1"/>
    <col min="10755" max="10755" width="16" style="51" customWidth="1"/>
    <col min="10756" max="10757" width="13.7109375" style="51" customWidth="1"/>
    <col min="10758" max="10758" width="16.85546875" style="51" customWidth="1"/>
    <col min="10759" max="10759" width="15.140625" style="51" customWidth="1"/>
    <col min="10760" max="10760" width="13.7109375" style="51" customWidth="1"/>
    <col min="10761" max="10761" width="17" style="51" customWidth="1"/>
    <col min="10762" max="10762" width="13.140625" style="51" bestFit="1" customWidth="1"/>
    <col min="10763" max="10763" width="7.85546875" style="51"/>
    <col min="10764" max="10764" width="14.28515625" style="51" bestFit="1" customWidth="1"/>
    <col min="10765" max="10765" width="16.42578125" style="51" bestFit="1" customWidth="1"/>
    <col min="10766" max="11008" width="7.85546875" style="51"/>
    <col min="11009" max="11009" width="29.28515625" style="51" customWidth="1"/>
    <col min="11010" max="11010" width="14.42578125" style="51" customWidth="1"/>
    <col min="11011" max="11011" width="16" style="51" customWidth="1"/>
    <col min="11012" max="11013" width="13.7109375" style="51" customWidth="1"/>
    <col min="11014" max="11014" width="16.85546875" style="51" customWidth="1"/>
    <col min="11015" max="11015" width="15.140625" style="51" customWidth="1"/>
    <col min="11016" max="11016" width="13.7109375" style="51" customWidth="1"/>
    <col min="11017" max="11017" width="17" style="51" customWidth="1"/>
    <col min="11018" max="11018" width="13.140625" style="51" bestFit="1" customWidth="1"/>
    <col min="11019" max="11019" width="7.85546875" style="51"/>
    <col min="11020" max="11020" width="14.28515625" style="51" bestFit="1" customWidth="1"/>
    <col min="11021" max="11021" width="16.42578125" style="51" bestFit="1" customWidth="1"/>
    <col min="11022" max="11264" width="7.85546875" style="51"/>
    <col min="11265" max="11265" width="29.28515625" style="51" customWidth="1"/>
    <col min="11266" max="11266" width="14.42578125" style="51" customWidth="1"/>
    <col min="11267" max="11267" width="16" style="51" customWidth="1"/>
    <col min="11268" max="11269" width="13.7109375" style="51" customWidth="1"/>
    <col min="11270" max="11270" width="16.85546875" style="51" customWidth="1"/>
    <col min="11271" max="11271" width="15.140625" style="51" customWidth="1"/>
    <col min="11272" max="11272" width="13.7109375" style="51" customWidth="1"/>
    <col min="11273" max="11273" width="17" style="51" customWidth="1"/>
    <col min="11274" max="11274" width="13.140625" style="51" bestFit="1" customWidth="1"/>
    <col min="11275" max="11275" width="7.85546875" style="51"/>
    <col min="11276" max="11276" width="14.28515625" style="51" bestFit="1" customWidth="1"/>
    <col min="11277" max="11277" width="16.42578125" style="51" bestFit="1" customWidth="1"/>
    <col min="11278" max="11520" width="7.85546875" style="51"/>
    <col min="11521" max="11521" width="29.28515625" style="51" customWidth="1"/>
    <col min="11522" max="11522" width="14.42578125" style="51" customWidth="1"/>
    <col min="11523" max="11523" width="16" style="51" customWidth="1"/>
    <col min="11524" max="11525" width="13.7109375" style="51" customWidth="1"/>
    <col min="11526" max="11526" width="16.85546875" style="51" customWidth="1"/>
    <col min="11527" max="11527" width="15.140625" style="51" customWidth="1"/>
    <col min="11528" max="11528" width="13.7109375" style="51" customWidth="1"/>
    <col min="11529" max="11529" width="17" style="51" customWidth="1"/>
    <col min="11530" max="11530" width="13.140625" style="51" bestFit="1" customWidth="1"/>
    <col min="11531" max="11531" width="7.85546875" style="51"/>
    <col min="11532" max="11532" width="14.28515625" style="51" bestFit="1" customWidth="1"/>
    <col min="11533" max="11533" width="16.42578125" style="51" bestFit="1" customWidth="1"/>
    <col min="11534" max="11776" width="7.85546875" style="51"/>
    <col min="11777" max="11777" width="29.28515625" style="51" customWidth="1"/>
    <col min="11778" max="11778" width="14.42578125" style="51" customWidth="1"/>
    <col min="11779" max="11779" width="16" style="51" customWidth="1"/>
    <col min="11780" max="11781" width="13.7109375" style="51" customWidth="1"/>
    <col min="11782" max="11782" width="16.85546875" style="51" customWidth="1"/>
    <col min="11783" max="11783" width="15.140625" style="51" customWidth="1"/>
    <col min="11784" max="11784" width="13.7109375" style="51" customWidth="1"/>
    <col min="11785" max="11785" width="17" style="51" customWidth="1"/>
    <col min="11786" max="11786" width="13.140625" style="51" bestFit="1" customWidth="1"/>
    <col min="11787" max="11787" width="7.85546875" style="51"/>
    <col min="11788" max="11788" width="14.28515625" style="51" bestFit="1" customWidth="1"/>
    <col min="11789" max="11789" width="16.42578125" style="51" bestFit="1" customWidth="1"/>
    <col min="11790" max="12032" width="7.85546875" style="51"/>
    <col min="12033" max="12033" width="29.28515625" style="51" customWidth="1"/>
    <col min="12034" max="12034" width="14.42578125" style="51" customWidth="1"/>
    <col min="12035" max="12035" width="16" style="51" customWidth="1"/>
    <col min="12036" max="12037" width="13.7109375" style="51" customWidth="1"/>
    <col min="12038" max="12038" width="16.85546875" style="51" customWidth="1"/>
    <col min="12039" max="12039" width="15.140625" style="51" customWidth="1"/>
    <col min="12040" max="12040" width="13.7109375" style="51" customWidth="1"/>
    <col min="12041" max="12041" width="17" style="51" customWidth="1"/>
    <col min="12042" max="12042" width="13.140625" style="51" bestFit="1" customWidth="1"/>
    <col min="12043" max="12043" width="7.85546875" style="51"/>
    <col min="12044" max="12044" width="14.28515625" style="51" bestFit="1" customWidth="1"/>
    <col min="12045" max="12045" width="16.42578125" style="51" bestFit="1" customWidth="1"/>
    <col min="12046" max="12288" width="7.85546875" style="51"/>
    <col min="12289" max="12289" width="29.28515625" style="51" customWidth="1"/>
    <col min="12290" max="12290" width="14.42578125" style="51" customWidth="1"/>
    <col min="12291" max="12291" width="16" style="51" customWidth="1"/>
    <col min="12292" max="12293" width="13.7109375" style="51" customWidth="1"/>
    <col min="12294" max="12294" width="16.85546875" style="51" customWidth="1"/>
    <col min="12295" max="12295" width="15.140625" style="51" customWidth="1"/>
    <col min="12296" max="12296" width="13.7109375" style="51" customWidth="1"/>
    <col min="12297" max="12297" width="17" style="51" customWidth="1"/>
    <col min="12298" max="12298" width="13.140625" style="51" bestFit="1" customWidth="1"/>
    <col min="12299" max="12299" width="7.85546875" style="51"/>
    <col min="12300" max="12300" width="14.28515625" style="51" bestFit="1" customWidth="1"/>
    <col min="12301" max="12301" width="16.42578125" style="51" bestFit="1" customWidth="1"/>
    <col min="12302" max="12544" width="7.85546875" style="51"/>
    <col min="12545" max="12545" width="29.28515625" style="51" customWidth="1"/>
    <col min="12546" max="12546" width="14.42578125" style="51" customWidth="1"/>
    <col min="12547" max="12547" width="16" style="51" customWidth="1"/>
    <col min="12548" max="12549" width="13.7109375" style="51" customWidth="1"/>
    <col min="12550" max="12550" width="16.85546875" style="51" customWidth="1"/>
    <col min="12551" max="12551" width="15.140625" style="51" customWidth="1"/>
    <col min="12552" max="12552" width="13.7109375" style="51" customWidth="1"/>
    <col min="12553" max="12553" width="17" style="51" customWidth="1"/>
    <col min="12554" max="12554" width="13.140625" style="51" bestFit="1" customWidth="1"/>
    <col min="12555" max="12555" width="7.85546875" style="51"/>
    <col min="12556" max="12556" width="14.28515625" style="51" bestFit="1" customWidth="1"/>
    <col min="12557" max="12557" width="16.42578125" style="51" bestFit="1" customWidth="1"/>
    <col min="12558" max="12800" width="7.85546875" style="51"/>
    <col min="12801" max="12801" width="29.28515625" style="51" customWidth="1"/>
    <col min="12802" max="12802" width="14.42578125" style="51" customWidth="1"/>
    <col min="12803" max="12803" width="16" style="51" customWidth="1"/>
    <col min="12804" max="12805" width="13.7109375" style="51" customWidth="1"/>
    <col min="12806" max="12806" width="16.85546875" style="51" customWidth="1"/>
    <col min="12807" max="12807" width="15.140625" style="51" customWidth="1"/>
    <col min="12808" max="12808" width="13.7109375" style="51" customWidth="1"/>
    <col min="12809" max="12809" width="17" style="51" customWidth="1"/>
    <col min="12810" max="12810" width="13.140625" style="51" bestFit="1" customWidth="1"/>
    <col min="12811" max="12811" width="7.85546875" style="51"/>
    <col min="12812" max="12812" width="14.28515625" style="51" bestFit="1" customWidth="1"/>
    <col min="12813" max="12813" width="16.42578125" style="51" bestFit="1" customWidth="1"/>
    <col min="12814" max="13056" width="7.85546875" style="51"/>
    <col min="13057" max="13057" width="29.28515625" style="51" customWidth="1"/>
    <col min="13058" max="13058" width="14.42578125" style="51" customWidth="1"/>
    <col min="13059" max="13059" width="16" style="51" customWidth="1"/>
    <col min="13060" max="13061" width="13.7109375" style="51" customWidth="1"/>
    <col min="13062" max="13062" width="16.85546875" style="51" customWidth="1"/>
    <col min="13063" max="13063" width="15.140625" style="51" customWidth="1"/>
    <col min="13064" max="13064" width="13.7109375" style="51" customWidth="1"/>
    <col min="13065" max="13065" width="17" style="51" customWidth="1"/>
    <col min="13066" max="13066" width="13.140625" style="51" bestFit="1" customWidth="1"/>
    <col min="13067" max="13067" width="7.85546875" style="51"/>
    <col min="13068" max="13068" width="14.28515625" style="51" bestFit="1" customWidth="1"/>
    <col min="13069" max="13069" width="16.42578125" style="51" bestFit="1" customWidth="1"/>
    <col min="13070" max="13312" width="7.85546875" style="51"/>
    <col min="13313" max="13313" width="29.28515625" style="51" customWidth="1"/>
    <col min="13314" max="13314" width="14.42578125" style="51" customWidth="1"/>
    <col min="13315" max="13315" width="16" style="51" customWidth="1"/>
    <col min="13316" max="13317" width="13.7109375" style="51" customWidth="1"/>
    <col min="13318" max="13318" width="16.85546875" style="51" customWidth="1"/>
    <col min="13319" max="13319" width="15.140625" style="51" customWidth="1"/>
    <col min="13320" max="13320" width="13.7109375" style="51" customWidth="1"/>
    <col min="13321" max="13321" width="17" style="51" customWidth="1"/>
    <col min="13322" max="13322" width="13.140625" style="51" bestFit="1" customWidth="1"/>
    <col min="13323" max="13323" width="7.85546875" style="51"/>
    <col min="13324" max="13324" width="14.28515625" style="51" bestFit="1" customWidth="1"/>
    <col min="13325" max="13325" width="16.42578125" style="51" bestFit="1" customWidth="1"/>
    <col min="13326" max="13568" width="7.85546875" style="51"/>
    <col min="13569" max="13569" width="29.28515625" style="51" customWidth="1"/>
    <col min="13570" max="13570" width="14.42578125" style="51" customWidth="1"/>
    <col min="13571" max="13571" width="16" style="51" customWidth="1"/>
    <col min="13572" max="13573" width="13.7109375" style="51" customWidth="1"/>
    <col min="13574" max="13574" width="16.85546875" style="51" customWidth="1"/>
    <col min="13575" max="13575" width="15.140625" style="51" customWidth="1"/>
    <col min="13576" max="13576" width="13.7109375" style="51" customWidth="1"/>
    <col min="13577" max="13577" width="17" style="51" customWidth="1"/>
    <col min="13578" max="13578" width="13.140625" style="51" bestFit="1" customWidth="1"/>
    <col min="13579" max="13579" width="7.85546875" style="51"/>
    <col min="13580" max="13580" width="14.28515625" style="51" bestFit="1" customWidth="1"/>
    <col min="13581" max="13581" width="16.42578125" style="51" bestFit="1" customWidth="1"/>
    <col min="13582" max="13824" width="7.85546875" style="51"/>
    <col min="13825" max="13825" width="29.28515625" style="51" customWidth="1"/>
    <col min="13826" max="13826" width="14.42578125" style="51" customWidth="1"/>
    <col min="13827" max="13827" width="16" style="51" customWidth="1"/>
    <col min="13828" max="13829" width="13.7109375" style="51" customWidth="1"/>
    <col min="13830" max="13830" width="16.85546875" style="51" customWidth="1"/>
    <col min="13831" max="13831" width="15.140625" style="51" customWidth="1"/>
    <col min="13832" max="13832" width="13.7109375" style="51" customWidth="1"/>
    <col min="13833" max="13833" width="17" style="51" customWidth="1"/>
    <col min="13834" max="13834" width="13.140625" style="51" bestFit="1" customWidth="1"/>
    <col min="13835" max="13835" width="7.85546875" style="51"/>
    <col min="13836" max="13836" width="14.28515625" style="51" bestFit="1" customWidth="1"/>
    <col min="13837" max="13837" width="16.42578125" style="51" bestFit="1" customWidth="1"/>
    <col min="13838" max="14080" width="7.85546875" style="51"/>
    <col min="14081" max="14081" width="29.28515625" style="51" customWidth="1"/>
    <col min="14082" max="14082" width="14.42578125" style="51" customWidth="1"/>
    <col min="14083" max="14083" width="16" style="51" customWidth="1"/>
    <col min="14084" max="14085" width="13.7109375" style="51" customWidth="1"/>
    <col min="14086" max="14086" width="16.85546875" style="51" customWidth="1"/>
    <col min="14087" max="14087" width="15.140625" style="51" customWidth="1"/>
    <col min="14088" max="14088" width="13.7109375" style="51" customWidth="1"/>
    <col min="14089" max="14089" width="17" style="51" customWidth="1"/>
    <col min="14090" max="14090" width="13.140625" style="51" bestFit="1" customWidth="1"/>
    <col min="14091" max="14091" width="7.85546875" style="51"/>
    <col min="14092" max="14092" width="14.28515625" style="51" bestFit="1" customWidth="1"/>
    <col min="14093" max="14093" width="16.42578125" style="51" bestFit="1" customWidth="1"/>
    <col min="14094" max="14336" width="7.85546875" style="51"/>
    <col min="14337" max="14337" width="29.28515625" style="51" customWidth="1"/>
    <col min="14338" max="14338" width="14.42578125" style="51" customWidth="1"/>
    <col min="14339" max="14339" width="16" style="51" customWidth="1"/>
    <col min="14340" max="14341" width="13.7109375" style="51" customWidth="1"/>
    <col min="14342" max="14342" width="16.85546875" style="51" customWidth="1"/>
    <col min="14343" max="14343" width="15.140625" style="51" customWidth="1"/>
    <col min="14344" max="14344" width="13.7109375" style="51" customWidth="1"/>
    <col min="14345" max="14345" width="17" style="51" customWidth="1"/>
    <col min="14346" max="14346" width="13.140625" style="51" bestFit="1" customWidth="1"/>
    <col min="14347" max="14347" width="7.85546875" style="51"/>
    <col min="14348" max="14348" width="14.28515625" style="51" bestFit="1" customWidth="1"/>
    <col min="14349" max="14349" width="16.42578125" style="51" bestFit="1" customWidth="1"/>
    <col min="14350" max="14592" width="7.85546875" style="51"/>
    <col min="14593" max="14593" width="29.28515625" style="51" customWidth="1"/>
    <col min="14594" max="14594" width="14.42578125" style="51" customWidth="1"/>
    <col min="14595" max="14595" width="16" style="51" customWidth="1"/>
    <col min="14596" max="14597" width="13.7109375" style="51" customWidth="1"/>
    <col min="14598" max="14598" width="16.85546875" style="51" customWidth="1"/>
    <col min="14599" max="14599" width="15.140625" style="51" customWidth="1"/>
    <col min="14600" max="14600" width="13.7109375" style="51" customWidth="1"/>
    <col min="14601" max="14601" width="17" style="51" customWidth="1"/>
    <col min="14602" max="14602" width="13.140625" style="51" bestFit="1" customWidth="1"/>
    <col min="14603" max="14603" width="7.85546875" style="51"/>
    <col min="14604" max="14604" width="14.28515625" style="51" bestFit="1" customWidth="1"/>
    <col min="14605" max="14605" width="16.42578125" style="51" bestFit="1" customWidth="1"/>
    <col min="14606" max="14848" width="7.85546875" style="51"/>
    <col min="14849" max="14849" width="29.28515625" style="51" customWidth="1"/>
    <col min="14850" max="14850" width="14.42578125" style="51" customWidth="1"/>
    <col min="14851" max="14851" width="16" style="51" customWidth="1"/>
    <col min="14852" max="14853" width="13.7109375" style="51" customWidth="1"/>
    <col min="14854" max="14854" width="16.85546875" style="51" customWidth="1"/>
    <col min="14855" max="14855" width="15.140625" style="51" customWidth="1"/>
    <col min="14856" max="14856" width="13.7109375" style="51" customWidth="1"/>
    <col min="14857" max="14857" width="17" style="51" customWidth="1"/>
    <col min="14858" max="14858" width="13.140625" style="51" bestFit="1" customWidth="1"/>
    <col min="14859" max="14859" width="7.85546875" style="51"/>
    <col min="14860" max="14860" width="14.28515625" style="51" bestFit="1" customWidth="1"/>
    <col min="14861" max="14861" width="16.42578125" style="51" bestFit="1" customWidth="1"/>
    <col min="14862" max="15104" width="7.85546875" style="51"/>
    <col min="15105" max="15105" width="29.28515625" style="51" customWidth="1"/>
    <col min="15106" max="15106" width="14.42578125" style="51" customWidth="1"/>
    <col min="15107" max="15107" width="16" style="51" customWidth="1"/>
    <col min="15108" max="15109" width="13.7109375" style="51" customWidth="1"/>
    <col min="15110" max="15110" width="16.85546875" style="51" customWidth="1"/>
    <col min="15111" max="15111" width="15.140625" style="51" customWidth="1"/>
    <col min="15112" max="15112" width="13.7109375" style="51" customWidth="1"/>
    <col min="15113" max="15113" width="17" style="51" customWidth="1"/>
    <col min="15114" max="15114" width="13.140625" style="51" bestFit="1" customWidth="1"/>
    <col min="15115" max="15115" width="7.85546875" style="51"/>
    <col min="15116" max="15116" width="14.28515625" style="51" bestFit="1" customWidth="1"/>
    <col min="15117" max="15117" width="16.42578125" style="51" bestFit="1" customWidth="1"/>
    <col min="15118" max="15360" width="7.85546875" style="51"/>
    <col min="15361" max="15361" width="29.28515625" style="51" customWidth="1"/>
    <col min="15362" max="15362" width="14.42578125" style="51" customWidth="1"/>
    <col min="15363" max="15363" width="16" style="51" customWidth="1"/>
    <col min="15364" max="15365" width="13.7109375" style="51" customWidth="1"/>
    <col min="15366" max="15366" width="16.85546875" style="51" customWidth="1"/>
    <col min="15367" max="15367" width="15.140625" style="51" customWidth="1"/>
    <col min="15368" max="15368" width="13.7109375" style="51" customWidth="1"/>
    <col min="15369" max="15369" width="17" style="51" customWidth="1"/>
    <col min="15370" max="15370" width="13.140625" style="51" bestFit="1" customWidth="1"/>
    <col min="15371" max="15371" width="7.85546875" style="51"/>
    <col min="15372" max="15372" width="14.28515625" style="51" bestFit="1" customWidth="1"/>
    <col min="15373" max="15373" width="16.42578125" style="51" bestFit="1" customWidth="1"/>
    <col min="15374" max="15616" width="7.85546875" style="51"/>
    <col min="15617" max="15617" width="29.28515625" style="51" customWidth="1"/>
    <col min="15618" max="15618" width="14.42578125" style="51" customWidth="1"/>
    <col min="15619" max="15619" width="16" style="51" customWidth="1"/>
    <col min="15620" max="15621" width="13.7109375" style="51" customWidth="1"/>
    <col min="15622" max="15622" width="16.85546875" style="51" customWidth="1"/>
    <col min="15623" max="15623" width="15.140625" style="51" customWidth="1"/>
    <col min="15624" max="15624" width="13.7109375" style="51" customWidth="1"/>
    <col min="15625" max="15625" width="17" style="51" customWidth="1"/>
    <col min="15626" max="15626" width="13.140625" style="51" bestFit="1" customWidth="1"/>
    <col min="15627" max="15627" width="7.85546875" style="51"/>
    <col min="15628" max="15628" width="14.28515625" style="51" bestFit="1" customWidth="1"/>
    <col min="15629" max="15629" width="16.42578125" style="51" bestFit="1" customWidth="1"/>
    <col min="15630" max="15872" width="7.85546875" style="51"/>
    <col min="15873" max="15873" width="29.28515625" style="51" customWidth="1"/>
    <col min="15874" max="15874" width="14.42578125" style="51" customWidth="1"/>
    <col min="15875" max="15875" width="16" style="51" customWidth="1"/>
    <col min="15876" max="15877" width="13.7109375" style="51" customWidth="1"/>
    <col min="15878" max="15878" width="16.85546875" style="51" customWidth="1"/>
    <col min="15879" max="15879" width="15.140625" style="51" customWidth="1"/>
    <col min="15880" max="15880" width="13.7109375" style="51" customWidth="1"/>
    <col min="15881" max="15881" width="17" style="51" customWidth="1"/>
    <col min="15882" max="15882" width="13.140625" style="51" bestFit="1" customWidth="1"/>
    <col min="15883" max="15883" width="7.85546875" style="51"/>
    <col min="15884" max="15884" width="14.28515625" style="51" bestFit="1" customWidth="1"/>
    <col min="15885" max="15885" width="16.42578125" style="51" bestFit="1" customWidth="1"/>
    <col min="15886" max="16128" width="7.85546875" style="51"/>
    <col min="16129" max="16129" width="29.28515625" style="51" customWidth="1"/>
    <col min="16130" max="16130" width="14.42578125" style="51" customWidth="1"/>
    <col min="16131" max="16131" width="16" style="51" customWidth="1"/>
    <col min="16132" max="16133" width="13.7109375" style="51" customWidth="1"/>
    <col min="16134" max="16134" width="16.85546875" style="51" customWidth="1"/>
    <col min="16135" max="16135" width="15.140625" style="51" customWidth="1"/>
    <col min="16136" max="16136" width="13.7109375" style="51" customWidth="1"/>
    <col min="16137" max="16137" width="17" style="51" customWidth="1"/>
    <col min="16138" max="16138" width="13.140625" style="51" bestFit="1" customWidth="1"/>
    <col min="16139" max="16139" width="7.85546875" style="51"/>
    <col min="16140" max="16140" width="14.28515625" style="51" bestFit="1" customWidth="1"/>
    <col min="16141" max="16141" width="16.42578125" style="51" bestFit="1" customWidth="1"/>
    <col min="16142" max="16384" width="7.85546875" style="51"/>
  </cols>
  <sheetData>
    <row r="1" spans="1:11" ht="27.75" customHeight="1" x14ac:dyDescent="0.2"/>
    <row r="2" spans="1:11" ht="25.5" customHeight="1" x14ac:dyDescent="0.2"/>
    <row r="3" spans="1:11" ht="15.75" customHeight="1" x14ac:dyDescent="0.25">
      <c r="A3" s="246" t="s">
        <v>124</v>
      </c>
      <c r="B3" s="246"/>
      <c r="C3" s="246"/>
      <c r="D3" s="246"/>
      <c r="E3" s="246"/>
      <c r="F3" s="246"/>
      <c r="G3" s="246"/>
      <c r="H3" s="246"/>
      <c r="I3" s="246"/>
    </row>
    <row r="4" spans="1:11" s="52" customFormat="1" ht="21.75" customHeight="1" x14ac:dyDescent="0.35">
      <c r="A4" s="100" t="s">
        <v>0</v>
      </c>
      <c r="B4" s="99"/>
      <c r="C4" s="98"/>
      <c r="D4" s="98"/>
      <c r="E4" s="98"/>
      <c r="F4" s="98"/>
      <c r="G4" s="98"/>
      <c r="H4" s="98"/>
      <c r="I4" s="98"/>
    </row>
    <row r="5" spans="1:11" s="52" customFormat="1" ht="15.75" x14ac:dyDescent="0.25">
      <c r="A5" s="97" t="s">
        <v>116</v>
      </c>
    </row>
    <row r="6" spans="1:11" s="95" customFormat="1" ht="25.5" customHeight="1" x14ac:dyDescent="0.2">
      <c r="A6" s="96" t="s">
        <v>3</v>
      </c>
      <c r="B6" s="96" t="s">
        <v>115</v>
      </c>
      <c r="C6" s="96" t="s">
        <v>114</v>
      </c>
      <c r="D6" s="96" t="s">
        <v>113</v>
      </c>
      <c r="E6" s="96" t="s">
        <v>112</v>
      </c>
      <c r="F6" s="96" t="s">
        <v>111</v>
      </c>
      <c r="G6" s="96" t="s">
        <v>110</v>
      </c>
      <c r="H6" s="96" t="s">
        <v>109</v>
      </c>
      <c r="I6" s="96" t="s">
        <v>108</v>
      </c>
      <c r="K6" s="95" t="s">
        <v>125</v>
      </c>
    </row>
    <row r="7" spans="1:11" customFormat="1" ht="17.25" customHeight="1" x14ac:dyDescent="0.25">
      <c r="A7" s="106" t="s">
        <v>126</v>
      </c>
      <c r="B7" s="107"/>
      <c r="C7" s="108"/>
      <c r="D7" s="109"/>
      <c r="E7" s="109"/>
      <c r="F7" s="109"/>
      <c r="G7" s="109"/>
      <c r="H7" s="109"/>
      <c r="I7" s="110"/>
      <c r="K7" s="111"/>
    </row>
    <row r="8" spans="1:11" customFormat="1" ht="12.95" customHeight="1" x14ac:dyDescent="0.25">
      <c r="A8" s="112" t="s">
        <v>118</v>
      </c>
      <c r="B8" s="113">
        <v>0.5</v>
      </c>
      <c r="C8" s="114">
        <f>40.5*1.15</f>
        <v>46.574999999999996</v>
      </c>
      <c r="D8" s="115">
        <v>11</v>
      </c>
      <c r="E8" s="116">
        <v>0</v>
      </c>
      <c r="F8" s="91">
        <f>(((C8*2*23)*B8)*1.7+((C8*12*4)*B8)*2)</f>
        <v>4056.6824999999999</v>
      </c>
      <c r="G8" s="117">
        <v>0</v>
      </c>
      <c r="H8" s="91">
        <f t="shared" ref="H8:H10" si="0">C8*(300)*B8</f>
        <v>6986.2499999999991</v>
      </c>
      <c r="I8" s="118">
        <f>E8+F8+G8+H8</f>
        <v>11042.932499999999</v>
      </c>
      <c r="K8" s="119">
        <f>80*C8*B8</f>
        <v>1862.9999999999998</v>
      </c>
    </row>
    <row r="9" spans="1:11" customFormat="1" ht="12.95" customHeight="1" x14ac:dyDescent="0.25">
      <c r="A9" s="112" t="s">
        <v>134</v>
      </c>
      <c r="B9" s="113">
        <v>0.5</v>
      </c>
      <c r="C9" s="114">
        <f>25*1.15</f>
        <v>28.749999999999996</v>
      </c>
      <c r="D9" s="115">
        <v>11</v>
      </c>
      <c r="E9" s="116">
        <v>0</v>
      </c>
      <c r="F9" s="91">
        <f>(((C9*2*23)*B9)*1.7+((C9*12*4)*B9)*2)</f>
        <v>2504.1249999999995</v>
      </c>
      <c r="G9" s="117">
        <v>0</v>
      </c>
      <c r="H9" s="91">
        <f t="shared" si="0"/>
        <v>4312.4999999999991</v>
      </c>
      <c r="I9" s="118">
        <f>E9+F9+G9+H9</f>
        <v>6816.6249999999982</v>
      </c>
      <c r="K9" s="119">
        <f t="shared" ref="K9:K20" si="1">170*C9*B9</f>
        <v>2443.7499999999995</v>
      </c>
    </row>
    <row r="10" spans="1:11" customFormat="1" ht="12.95" customHeight="1" x14ac:dyDescent="0.25">
      <c r="A10" s="112" t="s">
        <v>119</v>
      </c>
      <c r="B10" s="113">
        <v>0.5</v>
      </c>
      <c r="C10" s="114">
        <f>33.28*1.15</f>
        <v>38.271999999999998</v>
      </c>
      <c r="D10" s="115">
        <v>11</v>
      </c>
      <c r="E10" s="116">
        <v>0</v>
      </c>
      <c r="F10" s="91">
        <f>(((C10*2*23)*B10)*1.7+((C10*12*4)*B10)*2)</f>
        <v>3333.4911999999999</v>
      </c>
      <c r="G10" s="117">
        <v>0</v>
      </c>
      <c r="H10" s="91">
        <f t="shared" si="0"/>
        <v>5740.8</v>
      </c>
      <c r="I10" s="118">
        <f>E10+F10+G10+H10</f>
        <v>9074.2911999999997</v>
      </c>
      <c r="K10" s="119">
        <f t="shared" si="1"/>
        <v>3253.12</v>
      </c>
    </row>
    <row r="11" spans="1:11" customFormat="1" ht="12.95" customHeight="1" x14ac:dyDescent="0.25">
      <c r="A11" s="112" t="s">
        <v>160</v>
      </c>
      <c r="B11" s="230">
        <v>1</v>
      </c>
      <c r="C11" s="231">
        <v>12.5</v>
      </c>
      <c r="D11" s="121">
        <v>11</v>
      </c>
      <c r="E11" s="116">
        <v>0</v>
      </c>
      <c r="F11" s="91">
        <f>(((C11*2*23)*B11)*1.7+((C11*12*4)*B11)*2)</f>
        <v>2177.5</v>
      </c>
      <c r="G11" s="91">
        <f>((C11*8*35)*0.4)*B11/2</f>
        <v>700</v>
      </c>
      <c r="H11" s="91">
        <f>C11*(300)*B11</f>
        <v>3750</v>
      </c>
      <c r="I11" s="118">
        <f>E11+F11+G11+H11</f>
        <v>6627.5</v>
      </c>
      <c r="K11" s="119"/>
    </row>
    <row r="12" spans="1:11" customFormat="1" ht="12.95" customHeight="1" x14ac:dyDescent="0.25">
      <c r="A12" s="112" t="s">
        <v>128</v>
      </c>
      <c r="B12" s="120">
        <v>1</v>
      </c>
      <c r="C12" s="151">
        <v>18</v>
      </c>
      <c r="D12" s="121">
        <v>11</v>
      </c>
      <c r="E12" s="122">
        <v>0</v>
      </c>
      <c r="F12" s="91">
        <f>(((C12*2*23)*B12)*1.7+((C12*12*4)*B12)*2)</f>
        <v>3135.6</v>
      </c>
      <c r="G12" s="91">
        <f>((C12*8*35)*0.4)*B12/2</f>
        <v>1008</v>
      </c>
      <c r="H12" s="91">
        <f>C12*(300)*B12</f>
        <v>5400</v>
      </c>
      <c r="I12" s="123">
        <f>E12+F12+G12+H12</f>
        <v>9543.6</v>
      </c>
      <c r="K12" s="119">
        <f t="shared" si="1"/>
        <v>3060</v>
      </c>
    </row>
    <row r="13" spans="1:11" customFormat="1" ht="12.95" customHeight="1" x14ac:dyDescent="0.25">
      <c r="A13" s="106" t="s">
        <v>129</v>
      </c>
      <c r="B13" s="124"/>
      <c r="C13" s="125"/>
      <c r="D13" s="126"/>
      <c r="E13" s="127"/>
      <c r="F13" s="91"/>
      <c r="G13" s="128"/>
      <c r="H13" s="91"/>
      <c r="I13" s="129"/>
      <c r="K13" s="119"/>
    </row>
    <row r="14" spans="1:11" customFormat="1" ht="12.95" customHeight="1" x14ac:dyDescent="0.25">
      <c r="A14" s="130" t="s">
        <v>120</v>
      </c>
      <c r="B14" s="131">
        <v>2</v>
      </c>
      <c r="C14" s="132">
        <f>17.68*1.15</f>
        <v>20.331999999999997</v>
      </c>
      <c r="D14" s="92" t="s">
        <v>130</v>
      </c>
      <c r="E14" s="91">
        <v>0</v>
      </c>
      <c r="F14" s="91">
        <f t="shared" ref="F14:F20" si="2">(((C14*2*23)*B14)*1.7+((C14*12*4)*B14)*2)</f>
        <v>7083.6687999999995</v>
      </c>
      <c r="G14" s="91">
        <f t="shared" ref="G14:G20" si="3">((C14*8*35)*0.4)*B14/2</f>
        <v>2277.1839999999997</v>
      </c>
      <c r="H14" s="91">
        <f t="shared" ref="H14:H20" si="4">C14*(300)*B14</f>
        <v>12199.199999999999</v>
      </c>
      <c r="I14" s="90">
        <f t="shared" ref="I14:I20" si="5">E14+F14+G14+H14</f>
        <v>21560.052799999998</v>
      </c>
      <c r="K14" s="119">
        <f t="shared" si="1"/>
        <v>6912.8799999999992</v>
      </c>
    </row>
    <row r="15" spans="1:11" customFormat="1" ht="12.95" customHeight="1" x14ac:dyDescent="0.25">
      <c r="A15" s="130" t="s">
        <v>132</v>
      </c>
      <c r="B15" s="131">
        <v>1</v>
      </c>
      <c r="C15" s="132">
        <v>15</v>
      </c>
      <c r="D15" s="92" t="s">
        <v>133</v>
      </c>
      <c r="E15" s="91">
        <v>1</v>
      </c>
      <c r="F15" s="91">
        <f t="shared" si="2"/>
        <v>2613</v>
      </c>
      <c r="G15" s="91">
        <f t="shared" si="3"/>
        <v>840</v>
      </c>
      <c r="H15" s="91">
        <f t="shared" si="4"/>
        <v>4500</v>
      </c>
      <c r="I15" s="90">
        <f t="shared" ref="I15" si="6">E15+F15+G15+H15</f>
        <v>7954</v>
      </c>
      <c r="K15" s="119"/>
    </row>
    <row r="16" spans="1:11" customFormat="1" ht="12.95" customHeight="1" x14ac:dyDescent="0.25">
      <c r="A16" s="112" t="s">
        <v>65</v>
      </c>
      <c r="B16" s="133">
        <v>14</v>
      </c>
      <c r="C16" s="94">
        <v>10.81</v>
      </c>
      <c r="D16" s="92" t="s">
        <v>130</v>
      </c>
      <c r="E16" s="91">
        <v>0</v>
      </c>
      <c r="F16" s="91">
        <f t="shared" si="2"/>
        <v>26363.428</v>
      </c>
      <c r="G16" s="91">
        <f t="shared" si="3"/>
        <v>8475.0400000000009</v>
      </c>
      <c r="H16" s="91">
        <f t="shared" si="4"/>
        <v>45402</v>
      </c>
      <c r="I16" s="90">
        <f t="shared" si="5"/>
        <v>80240.467999999993</v>
      </c>
      <c r="K16" s="119">
        <f t="shared" si="1"/>
        <v>25727.8</v>
      </c>
    </row>
    <row r="17" spans="1:13" customFormat="1" ht="12.95" customHeight="1" x14ac:dyDescent="0.25">
      <c r="A17" s="112" t="s">
        <v>121</v>
      </c>
      <c r="B17" s="133">
        <v>2</v>
      </c>
      <c r="C17" s="93">
        <v>9.4600000000000009</v>
      </c>
      <c r="D17" s="92" t="s">
        <v>130</v>
      </c>
      <c r="E17" s="91">
        <v>0</v>
      </c>
      <c r="F17" s="91">
        <f t="shared" si="2"/>
        <v>3295.8640000000005</v>
      </c>
      <c r="G17" s="91">
        <f t="shared" si="3"/>
        <v>1059.5200000000002</v>
      </c>
      <c r="H17" s="91">
        <f t="shared" si="4"/>
        <v>5676.0000000000009</v>
      </c>
      <c r="I17" s="90">
        <f t="shared" si="5"/>
        <v>10031.384000000002</v>
      </c>
      <c r="K17" s="119">
        <f t="shared" si="1"/>
        <v>3216.4</v>
      </c>
    </row>
    <row r="18" spans="1:13" customFormat="1" ht="12.95" customHeight="1" x14ac:dyDescent="0.25">
      <c r="A18" s="112" t="s">
        <v>66</v>
      </c>
      <c r="B18" s="133">
        <v>16</v>
      </c>
      <c r="C18" s="93">
        <v>6.04</v>
      </c>
      <c r="D18" s="92" t="s">
        <v>130</v>
      </c>
      <c r="E18" s="91">
        <v>0</v>
      </c>
      <c r="F18" s="91">
        <f t="shared" si="2"/>
        <v>16834.687999999998</v>
      </c>
      <c r="G18" s="91">
        <f t="shared" si="3"/>
        <v>5411.84</v>
      </c>
      <c r="H18" s="91">
        <f t="shared" si="4"/>
        <v>28992</v>
      </c>
      <c r="I18" s="90">
        <f t="shared" si="5"/>
        <v>51238.527999999998</v>
      </c>
      <c r="K18" s="119">
        <f t="shared" si="1"/>
        <v>16428.8</v>
      </c>
    </row>
    <row r="19" spans="1:13" customFormat="1" ht="12.95" customHeight="1" x14ac:dyDescent="0.25">
      <c r="A19" s="112" t="s">
        <v>122</v>
      </c>
      <c r="B19" s="133">
        <v>1</v>
      </c>
      <c r="C19" s="93">
        <f>8.46*1.15</f>
        <v>9.729000000000001</v>
      </c>
      <c r="D19" s="92" t="s">
        <v>131</v>
      </c>
      <c r="E19" s="91">
        <v>-1</v>
      </c>
      <c r="F19" s="91">
        <f t="shared" si="2"/>
        <v>1694.7918000000002</v>
      </c>
      <c r="G19" s="91">
        <f t="shared" si="3"/>
        <v>544.82400000000007</v>
      </c>
      <c r="H19" s="91">
        <f t="shared" si="4"/>
        <v>2918.7000000000003</v>
      </c>
      <c r="I19" s="90">
        <f t="shared" si="5"/>
        <v>5157.3158000000003</v>
      </c>
      <c r="K19" s="119">
        <f t="shared" si="1"/>
        <v>1653.93</v>
      </c>
    </row>
    <row r="20" spans="1:13" customFormat="1" ht="12.95" customHeight="1" x14ac:dyDescent="0.25">
      <c r="A20" s="112" t="s">
        <v>123</v>
      </c>
      <c r="B20" s="133">
        <v>2</v>
      </c>
      <c r="C20" s="93">
        <v>9.4600000000000009</v>
      </c>
      <c r="D20" s="92" t="s">
        <v>130</v>
      </c>
      <c r="E20" s="91">
        <v>0</v>
      </c>
      <c r="F20" s="91">
        <f t="shared" si="2"/>
        <v>3295.8640000000005</v>
      </c>
      <c r="G20" s="91">
        <f t="shared" si="3"/>
        <v>1059.5200000000002</v>
      </c>
      <c r="H20" s="91">
        <f t="shared" si="4"/>
        <v>5676.0000000000009</v>
      </c>
      <c r="I20" s="90">
        <f t="shared" si="5"/>
        <v>10031.384000000002</v>
      </c>
      <c r="K20" s="119">
        <f t="shared" si="1"/>
        <v>3216.4</v>
      </c>
    </row>
    <row r="21" spans="1:13" customFormat="1" ht="14.1" customHeight="1" x14ac:dyDescent="0.25">
      <c r="A21" s="89" t="s">
        <v>107</v>
      </c>
      <c r="B21" s="88"/>
      <c r="C21" s="87"/>
      <c r="D21" s="86"/>
      <c r="E21" s="86"/>
      <c r="F21" s="86"/>
      <c r="G21" s="86"/>
      <c r="H21" s="86"/>
      <c r="I21" s="85"/>
    </row>
    <row r="22" spans="1:13" s="52" customFormat="1" ht="12.75" x14ac:dyDescent="0.2">
      <c r="A22" s="95"/>
      <c r="D22" s="134"/>
      <c r="E22" s="134"/>
      <c r="F22" s="134"/>
      <c r="G22" s="134"/>
      <c r="H22" s="134"/>
      <c r="I22" s="134"/>
      <c r="K22" s="135">
        <f>SUM(K8:K20)</f>
        <v>67776.08</v>
      </c>
    </row>
    <row r="23" spans="1:13" s="52" customFormat="1" ht="14.25" customHeight="1" x14ac:dyDescent="0.2">
      <c r="C23" s="247" t="s">
        <v>106</v>
      </c>
      <c r="D23" s="248"/>
      <c r="E23" s="248"/>
      <c r="F23" s="248"/>
      <c r="G23" s="248"/>
      <c r="H23" s="249">
        <f>SUM(I8:I20)</f>
        <v>229318.08129999996</v>
      </c>
      <c r="I23" s="250"/>
    </row>
    <row r="24" spans="1:13" s="52" customFormat="1" ht="17.25" customHeight="1" x14ac:dyDescent="0.25">
      <c r="A24" s="97" t="s">
        <v>105</v>
      </c>
    </row>
    <row r="25" spans="1:13" s="52" customFormat="1" ht="13.5" customHeight="1" x14ac:dyDescent="0.2">
      <c r="A25" s="84" t="s">
        <v>104</v>
      </c>
      <c r="B25" s="83" t="s">
        <v>103</v>
      </c>
      <c r="C25" s="82" t="s">
        <v>102</v>
      </c>
      <c r="D25" s="101"/>
      <c r="E25" s="101"/>
      <c r="F25" s="101"/>
      <c r="G25" s="101"/>
      <c r="H25" s="101"/>
    </row>
    <row r="26" spans="1:13" s="52" customFormat="1" ht="15.75" hidden="1" customHeight="1" x14ac:dyDescent="0.2">
      <c r="A26" s="81" t="s">
        <v>101</v>
      </c>
      <c r="B26" s="80"/>
      <c r="C26" s="79"/>
      <c r="D26" s="136"/>
      <c r="E26" s="136"/>
      <c r="F26" s="136"/>
      <c r="G26" s="136"/>
      <c r="H26" s="251"/>
      <c r="I26" s="251"/>
    </row>
    <row r="27" spans="1:13" s="52" customFormat="1" ht="15.75" hidden="1" x14ac:dyDescent="0.25">
      <c r="A27" s="71" t="s">
        <v>100</v>
      </c>
      <c r="B27" s="137">
        <v>0.2</v>
      </c>
      <c r="C27" s="69">
        <f>H23*B27</f>
        <v>45863.616259999995</v>
      </c>
      <c r="D27" s="136"/>
      <c r="E27" s="136"/>
      <c r="F27" s="136"/>
      <c r="G27" s="136"/>
      <c r="H27" s="136"/>
      <c r="M27" s="78">
        <v>762000</v>
      </c>
    </row>
    <row r="28" spans="1:13" s="52" customFormat="1" ht="12.75" hidden="1" x14ac:dyDescent="0.2">
      <c r="A28" s="71" t="s">
        <v>99</v>
      </c>
      <c r="B28" s="137">
        <v>8.5000000000000006E-2</v>
      </c>
      <c r="C28" s="69">
        <f>H23*B28</f>
        <v>19492.036910499999</v>
      </c>
      <c r="D28" s="138"/>
      <c r="E28" s="138"/>
      <c r="F28" s="138"/>
      <c r="G28" s="138"/>
      <c r="H28" s="136"/>
    </row>
    <row r="29" spans="1:13" s="52" customFormat="1" ht="7.5" hidden="1" customHeight="1" x14ac:dyDescent="0.2">
      <c r="A29" s="71"/>
      <c r="B29" s="137"/>
      <c r="C29" s="77"/>
      <c r="D29" s="136"/>
      <c r="E29" s="136"/>
      <c r="F29" s="136"/>
      <c r="G29" s="136"/>
      <c r="H29" s="136"/>
    </row>
    <row r="30" spans="1:13" s="52" customFormat="1" ht="15.75" hidden="1" customHeight="1" x14ac:dyDescent="0.2">
      <c r="A30" s="74" t="s">
        <v>98</v>
      </c>
      <c r="B30" s="139"/>
      <c r="C30" s="76"/>
      <c r="D30" s="136"/>
      <c r="E30" s="136"/>
      <c r="F30" s="136"/>
      <c r="G30" s="136"/>
      <c r="H30" s="136"/>
    </row>
    <row r="31" spans="1:13" s="52" customFormat="1" ht="12.95" hidden="1" customHeight="1" x14ac:dyDescent="0.2">
      <c r="A31" s="71" t="s">
        <v>97</v>
      </c>
      <c r="B31" s="137">
        <v>0.1091</v>
      </c>
      <c r="C31" s="69">
        <f>H23*B31</f>
        <v>25018.602669829997</v>
      </c>
      <c r="D31" s="136"/>
      <c r="E31" s="136"/>
      <c r="F31" s="136"/>
      <c r="G31" s="136"/>
      <c r="H31" s="136"/>
    </row>
    <row r="32" spans="1:13" s="52" customFormat="1" ht="12.75" hidden="1" x14ac:dyDescent="0.2">
      <c r="A32" s="71" t="s">
        <v>96</v>
      </c>
      <c r="B32" s="137">
        <v>9.4500000000000001E-2</v>
      </c>
      <c r="C32" s="69">
        <f>H23*B32</f>
        <v>21670.558682849998</v>
      </c>
      <c r="D32" s="136"/>
      <c r="E32" s="136"/>
      <c r="F32" s="136"/>
      <c r="G32" s="136"/>
      <c r="H32" s="136"/>
    </row>
    <row r="33" spans="1:12" s="52" customFormat="1" ht="12.75" hidden="1" x14ac:dyDescent="0.2">
      <c r="A33" s="71" t="s">
        <v>95</v>
      </c>
      <c r="B33" s="75">
        <v>5.4999999999999997E-3</v>
      </c>
      <c r="C33" s="69">
        <f>H23*B33</f>
        <v>1261.2494471499997</v>
      </c>
      <c r="D33" s="136"/>
      <c r="E33" s="136"/>
      <c r="F33" s="136"/>
      <c r="G33" s="136"/>
      <c r="H33" s="136"/>
    </row>
    <row r="34" spans="1:12" s="52" customFormat="1" ht="12.75" hidden="1" x14ac:dyDescent="0.2">
      <c r="A34" s="71" t="s">
        <v>94</v>
      </c>
      <c r="B34" s="137">
        <v>0</v>
      </c>
      <c r="C34" s="69">
        <f>H23*B34</f>
        <v>0</v>
      </c>
      <c r="D34" s="136"/>
      <c r="E34" s="136"/>
      <c r="F34" s="136"/>
      <c r="G34" s="136"/>
      <c r="H34" s="136"/>
    </row>
    <row r="35" spans="1:12" s="52" customFormat="1" ht="4.5" hidden="1" customHeight="1" x14ac:dyDescent="0.2">
      <c r="A35" s="71"/>
      <c r="B35" s="137"/>
      <c r="C35" s="69"/>
      <c r="D35" s="136"/>
      <c r="E35" s="136"/>
      <c r="F35" s="136"/>
      <c r="G35" s="136"/>
      <c r="H35" s="136"/>
    </row>
    <row r="36" spans="1:12" s="52" customFormat="1" ht="15.75" hidden="1" customHeight="1" x14ac:dyDescent="0.2">
      <c r="A36" s="74" t="s">
        <v>93</v>
      </c>
      <c r="B36" s="139"/>
      <c r="C36" s="72"/>
      <c r="D36" s="136"/>
      <c r="E36" s="136"/>
      <c r="F36" s="136"/>
      <c r="G36" s="136"/>
      <c r="H36" s="136"/>
    </row>
    <row r="37" spans="1:12" s="52" customFormat="1" ht="6" hidden="1" customHeight="1" x14ac:dyDescent="0.2">
      <c r="A37" s="74"/>
      <c r="B37" s="139"/>
      <c r="C37" s="72"/>
      <c r="D37" s="136"/>
      <c r="E37" s="136"/>
      <c r="F37" s="136"/>
      <c r="G37" s="136"/>
      <c r="H37" s="136"/>
    </row>
    <row r="38" spans="1:12" s="52" customFormat="1" ht="12.95" hidden="1" customHeight="1" x14ac:dyDescent="0.2">
      <c r="A38" s="71" t="s">
        <v>92</v>
      </c>
      <c r="B38" s="137">
        <v>7.9299999999999995E-2</v>
      </c>
      <c r="C38" s="69">
        <f>H23*B38</f>
        <v>18184.923847089995</v>
      </c>
      <c r="D38" s="136"/>
      <c r="E38" s="136"/>
      <c r="F38" s="136"/>
      <c r="G38" s="136"/>
      <c r="H38" s="136"/>
    </row>
    <row r="39" spans="1:12" s="52" customFormat="1" ht="6" hidden="1" customHeight="1" x14ac:dyDescent="0.2">
      <c r="A39" s="71"/>
      <c r="B39" s="137"/>
      <c r="C39" s="69"/>
      <c r="D39" s="136"/>
      <c r="E39" s="136"/>
      <c r="F39" s="136"/>
      <c r="G39" s="136"/>
      <c r="H39" s="136"/>
    </row>
    <row r="40" spans="1:12" s="52" customFormat="1" ht="15.75" hidden="1" customHeight="1" x14ac:dyDescent="0.2">
      <c r="A40" s="74" t="s">
        <v>91</v>
      </c>
      <c r="B40" s="139"/>
      <c r="C40" s="72"/>
      <c r="D40" s="136"/>
      <c r="E40" s="136"/>
      <c r="F40" s="136"/>
      <c r="G40" s="136"/>
      <c r="H40" s="136"/>
    </row>
    <row r="41" spans="1:12" s="52" customFormat="1" ht="8.25" hidden="1" customHeight="1" x14ac:dyDescent="0.2">
      <c r="A41" s="74"/>
      <c r="B41" s="73"/>
      <c r="C41" s="72"/>
      <c r="D41" s="136"/>
      <c r="E41" s="136"/>
      <c r="F41" s="136"/>
      <c r="G41" s="136"/>
      <c r="H41" s="136"/>
    </row>
    <row r="42" spans="1:12" s="52" customFormat="1" ht="12.95" hidden="1" customHeight="1" x14ac:dyDescent="0.2">
      <c r="A42" s="71" t="s">
        <v>90</v>
      </c>
      <c r="B42" s="70" t="s">
        <v>89</v>
      </c>
      <c r="C42" s="69">
        <f>50/100*C28</f>
        <v>9746.0184552499995</v>
      </c>
      <c r="D42" s="136"/>
      <c r="E42" s="136"/>
      <c r="F42" s="136"/>
      <c r="G42" s="136"/>
      <c r="H42" s="136"/>
    </row>
    <row r="43" spans="1:12" s="52" customFormat="1" ht="12.75" hidden="1" x14ac:dyDescent="0.2">
      <c r="A43" s="68"/>
      <c r="B43" s="67"/>
      <c r="C43" s="66"/>
      <c r="D43" s="136"/>
      <c r="E43" s="136"/>
      <c r="F43" s="136"/>
      <c r="G43" s="136"/>
      <c r="H43" s="136"/>
    </row>
    <row r="44" spans="1:12" s="52" customFormat="1" ht="14.25" customHeight="1" x14ac:dyDescent="0.2">
      <c r="A44" s="247" t="s">
        <v>88</v>
      </c>
      <c r="B44" s="252"/>
      <c r="C44" s="65">
        <f>SUM(C27:C43)</f>
        <v>141237.00627267</v>
      </c>
      <c r="D44" s="64"/>
      <c r="E44" s="63"/>
      <c r="F44" s="63"/>
      <c r="G44" s="63"/>
      <c r="H44" s="62"/>
    </row>
    <row r="45" spans="1:12" s="52" customFormat="1" ht="7.5" customHeight="1" x14ac:dyDescent="0.2">
      <c r="B45" s="101"/>
    </row>
    <row r="46" spans="1:12" s="52" customFormat="1" ht="14.25" customHeight="1" x14ac:dyDescent="0.2">
      <c r="A46" s="61"/>
      <c r="C46" s="253" t="s">
        <v>87</v>
      </c>
      <c r="D46" s="253"/>
      <c r="E46" s="253"/>
      <c r="F46" s="253"/>
      <c r="G46" s="253"/>
      <c r="H46" s="249">
        <f>C44+H23</f>
        <v>370555.08757266996</v>
      </c>
      <c r="I46" s="250"/>
    </row>
    <row r="47" spans="1:12" s="52" customFormat="1" ht="15.75" x14ac:dyDescent="0.25">
      <c r="A47" s="140"/>
      <c r="F47" s="244"/>
      <c r="G47" s="244"/>
      <c r="H47" s="245"/>
      <c r="I47" s="245"/>
      <c r="J47" s="60"/>
      <c r="L47" s="60"/>
    </row>
    <row r="48" spans="1:12" s="52" customFormat="1" ht="23.25" customHeight="1" x14ac:dyDescent="0.2">
      <c r="A48" s="141"/>
      <c r="B48" s="57" t="s">
        <v>85</v>
      </c>
      <c r="C48" s="57" t="s">
        <v>84</v>
      </c>
      <c r="D48" s="55" t="s">
        <v>86</v>
      </c>
      <c r="E48" s="55" t="s">
        <v>83</v>
      </c>
      <c r="F48" s="55" t="s">
        <v>82</v>
      </c>
      <c r="G48" s="55" t="s">
        <v>81</v>
      </c>
      <c r="L48" s="142"/>
    </row>
    <row r="49" spans="1:12" s="52" customFormat="1" ht="16.5" customHeight="1" x14ac:dyDescent="0.2">
      <c r="A49" s="112" t="s">
        <v>118</v>
      </c>
      <c r="B49" s="113">
        <v>0.5</v>
      </c>
      <c r="C49" s="56">
        <v>40</v>
      </c>
      <c r="D49" s="55">
        <v>5.4</v>
      </c>
      <c r="E49" s="55">
        <v>12.96</v>
      </c>
      <c r="F49" s="54">
        <v>12</v>
      </c>
      <c r="G49" s="53">
        <f t="shared" ref="G49:G59" si="7">(B49*C49*(D49+E49+F49))</f>
        <v>607.20000000000005</v>
      </c>
      <c r="L49" s="60"/>
    </row>
    <row r="50" spans="1:12" s="52" customFormat="1" ht="17.25" customHeight="1" x14ac:dyDescent="0.2">
      <c r="A50" s="112" t="s">
        <v>127</v>
      </c>
      <c r="B50" s="113">
        <v>0.5</v>
      </c>
      <c r="C50" s="56">
        <v>60</v>
      </c>
      <c r="D50" s="55">
        <v>5.4</v>
      </c>
      <c r="E50" s="55">
        <v>12.96</v>
      </c>
      <c r="F50" s="54">
        <v>12</v>
      </c>
      <c r="G50" s="53">
        <f t="shared" si="7"/>
        <v>910.8</v>
      </c>
      <c r="H50" s="60"/>
    </row>
    <row r="51" spans="1:12" s="52" customFormat="1" ht="12.75" x14ac:dyDescent="0.2">
      <c r="A51" s="112" t="s">
        <v>119</v>
      </c>
      <c r="B51" s="113">
        <v>0.5</v>
      </c>
      <c r="C51" s="56">
        <v>40</v>
      </c>
      <c r="D51" s="55">
        <v>5.4</v>
      </c>
      <c r="E51" s="55">
        <v>12.96</v>
      </c>
      <c r="F51" s="54">
        <v>12</v>
      </c>
      <c r="G51" s="53">
        <f t="shared" si="7"/>
        <v>607.20000000000005</v>
      </c>
    </row>
    <row r="52" spans="1:12" s="52" customFormat="1" ht="12.75" x14ac:dyDescent="0.2">
      <c r="A52" s="112" t="s">
        <v>128</v>
      </c>
      <c r="B52" s="120">
        <v>1</v>
      </c>
      <c r="C52" s="56">
        <v>40</v>
      </c>
      <c r="D52" s="55">
        <v>5.4</v>
      </c>
      <c r="E52" s="55">
        <v>12.96</v>
      </c>
      <c r="F52" s="54">
        <v>12</v>
      </c>
      <c r="G52" s="53">
        <f t="shared" si="7"/>
        <v>1214.4000000000001</v>
      </c>
    </row>
    <row r="53" spans="1:12" s="52" customFormat="1" ht="12.75" x14ac:dyDescent="0.2">
      <c r="A53" s="112" t="s">
        <v>120</v>
      </c>
      <c r="B53" s="131">
        <v>1</v>
      </c>
      <c r="C53" s="56">
        <v>40</v>
      </c>
      <c r="D53" s="55">
        <v>5.4</v>
      </c>
      <c r="E53" s="55">
        <v>12.96</v>
      </c>
      <c r="F53" s="54">
        <v>12</v>
      </c>
      <c r="G53" s="53">
        <f t="shared" si="7"/>
        <v>1214.4000000000001</v>
      </c>
    </row>
    <row r="54" spans="1:12" s="52" customFormat="1" ht="12.75" x14ac:dyDescent="0.2">
      <c r="A54" s="112" t="s">
        <v>132</v>
      </c>
      <c r="B54" s="131">
        <v>0.5</v>
      </c>
      <c r="C54" s="56">
        <v>35</v>
      </c>
      <c r="D54" s="55">
        <v>5.4</v>
      </c>
      <c r="E54" s="55">
        <v>12.96</v>
      </c>
      <c r="F54" s="54">
        <v>12</v>
      </c>
      <c r="G54" s="53">
        <f t="shared" si="7"/>
        <v>531.29999999999995</v>
      </c>
    </row>
    <row r="55" spans="1:12" s="52" customFormat="1" ht="16.5" customHeight="1" x14ac:dyDescent="0.2">
      <c r="A55" s="112" t="s">
        <v>65</v>
      </c>
      <c r="B55" s="133">
        <v>7</v>
      </c>
      <c r="C55" s="56">
        <v>35</v>
      </c>
      <c r="D55" s="55">
        <v>5.4</v>
      </c>
      <c r="E55" s="55">
        <v>12.96</v>
      </c>
      <c r="F55" s="54">
        <v>12</v>
      </c>
      <c r="G55" s="53">
        <f t="shared" si="7"/>
        <v>7438.2</v>
      </c>
    </row>
    <row r="56" spans="1:12" s="52" customFormat="1" ht="12.75" x14ac:dyDescent="0.2">
      <c r="A56" s="112" t="s">
        <v>121</v>
      </c>
      <c r="B56" s="133">
        <v>1</v>
      </c>
      <c r="C56" s="56">
        <v>35</v>
      </c>
      <c r="D56" s="55">
        <v>5.4</v>
      </c>
      <c r="E56" s="55">
        <v>12.96</v>
      </c>
      <c r="F56" s="54">
        <v>10</v>
      </c>
      <c r="G56" s="53">
        <f t="shared" si="7"/>
        <v>992.6</v>
      </c>
    </row>
    <row r="57" spans="1:12" s="52" customFormat="1" ht="12.75" x14ac:dyDescent="0.2">
      <c r="A57" s="112" t="s">
        <v>66</v>
      </c>
      <c r="B57" s="133">
        <v>8</v>
      </c>
      <c r="C57" s="56">
        <v>35</v>
      </c>
      <c r="D57" s="55">
        <v>5.4</v>
      </c>
      <c r="E57" s="55">
        <v>12.96</v>
      </c>
      <c r="F57" s="54">
        <v>10</v>
      </c>
      <c r="G57" s="53">
        <f t="shared" si="7"/>
        <v>7940.8</v>
      </c>
    </row>
    <row r="58" spans="1:12" s="52" customFormat="1" ht="12.75" x14ac:dyDescent="0.2">
      <c r="A58" s="112" t="s">
        <v>122</v>
      </c>
      <c r="B58" s="133">
        <v>1</v>
      </c>
      <c r="C58" s="56">
        <v>35</v>
      </c>
      <c r="D58" s="55">
        <v>5.4</v>
      </c>
      <c r="E58" s="55">
        <v>12.96</v>
      </c>
      <c r="F58" s="54">
        <v>10</v>
      </c>
      <c r="G58" s="53">
        <f t="shared" si="7"/>
        <v>992.6</v>
      </c>
    </row>
    <row r="59" spans="1:12" s="52" customFormat="1" ht="12.75" x14ac:dyDescent="0.2">
      <c r="A59" s="112" t="s">
        <v>123</v>
      </c>
      <c r="B59" s="133">
        <v>1</v>
      </c>
      <c r="C59" s="56">
        <v>35</v>
      </c>
      <c r="D59" s="55">
        <v>5.4</v>
      </c>
      <c r="E59" s="55">
        <v>12.96</v>
      </c>
      <c r="F59" s="54">
        <v>10</v>
      </c>
      <c r="G59" s="53">
        <f t="shared" si="7"/>
        <v>992.6</v>
      </c>
    </row>
    <row r="60" spans="1:12" s="52" customFormat="1" x14ac:dyDescent="0.2">
      <c r="A60" s="145"/>
      <c r="B60" s="59"/>
      <c r="C60" s="58"/>
      <c r="G60" s="146">
        <f>SUM(G49:G59)</f>
        <v>23442.1</v>
      </c>
    </row>
    <row r="61" spans="1:12" s="52" customFormat="1" ht="12.75" x14ac:dyDescent="0.2"/>
    <row r="62" spans="1:12" s="52" customFormat="1" x14ac:dyDescent="0.2">
      <c r="A62" s="141"/>
      <c r="B62" s="57" t="s">
        <v>85</v>
      </c>
      <c r="C62" s="57" t="s">
        <v>84</v>
      </c>
      <c r="D62" s="55" t="s">
        <v>82</v>
      </c>
      <c r="E62" s="55" t="s">
        <v>83</v>
      </c>
      <c r="F62" s="55" t="s">
        <v>82</v>
      </c>
      <c r="G62" s="55" t="s">
        <v>81</v>
      </c>
    </row>
    <row r="63" spans="1:12" s="52" customFormat="1" ht="12.75" x14ac:dyDescent="0.2">
      <c r="A63" s="112" t="s">
        <v>128</v>
      </c>
      <c r="B63" s="120">
        <v>1</v>
      </c>
      <c r="C63" s="56">
        <v>35</v>
      </c>
      <c r="D63" s="54">
        <v>10</v>
      </c>
      <c r="E63" s="55">
        <v>12.96</v>
      </c>
      <c r="F63" s="54">
        <v>10</v>
      </c>
      <c r="G63" s="53">
        <f t="shared" ref="G63:G69" si="8">(B63*C63*(D63+E63+F63))</f>
        <v>1153.6000000000001</v>
      </c>
    </row>
    <row r="64" spans="1:12" s="52" customFormat="1" ht="12.75" x14ac:dyDescent="0.2">
      <c r="A64" s="112" t="s">
        <v>150</v>
      </c>
      <c r="B64" s="214">
        <v>0.5</v>
      </c>
      <c r="C64" s="56">
        <v>35</v>
      </c>
      <c r="D64" s="54">
        <v>10</v>
      </c>
      <c r="E64" s="55">
        <v>12.96</v>
      </c>
      <c r="F64" s="54">
        <v>10</v>
      </c>
      <c r="G64" s="53">
        <f t="shared" ref="G64:G65" si="9">(B64*C64*(D64+E64+F64))</f>
        <v>576.80000000000007</v>
      </c>
    </row>
    <row r="65" spans="1:7" s="52" customFormat="1" ht="12.75" x14ac:dyDescent="0.2">
      <c r="A65" s="112" t="s">
        <v>65</v>
      </c>
      <c r="B65" s="133">
        <v>7</v>
      </c>
      <c r="C65" s="56">
        <v>35</v>
      </c>
      <c r="D65" s="54">
        <v>10</v>
      </c>
      <c r="E65" s="55">
        <v>12.96</v>
      </c>
      <c r="F65" s="54">
        <v>10</v>
      </c>
      <c r="G65" s="53">
        <f t="shared" si="9"/>
        <v>8075.2</v>
      </c>
    </row>
    <row r="66" spans="1:7" s="52" customFormat="1" ht="12.75" x14ac:dyDescent="0.2">
      <c r="A66" s="112" t="s">
        <v>121</v>
      </c>
      <c r="B66" s="133">
        <v>1</v>
      </c>
      <c r="C66" s="56">
        <v>35</v>
      </c>
      <c r="D66" s="54">
        <v>10</v>
      </c>
      <c r="E66" s="55">
        <v>12.96</v>
      </c>
      <c r="F66" s="54">
        <v>10</v>
      </c>
      <c r="G66" s="53">
        <f t="shared" si="8"/>
        <v>1153.6000000000001</v>
      </c>
    </row>
    <row r="67" spans="1:7" s="52" customFormat="1" ht="12.75" x14ac:dyDescent="0.2">
      <c r="A67" s="112" t="s">
        <v>66</v>
      </c>
      <c r="B67" s="133">
        <v>8</v>
      </c>
      <c r="C67" s="56">
        <v>35</v>
      </c>
      <c r="D67" s="54">
        <v>10</v>
      </c>
      <c r="E67" s="55">
        <v>12.96</v>
      </c>
      <c r="F67" s="54">
        <v>10</v>
      </c>
      <c r="G67" s="53">
        <f t="shared" si="8"/>
        <v>9228.8000000000011</v>
      </c>
    </row>
    <row r="68" spans="1:7" s="52" customFormat="1" ht="12.75" x14ac:dyDescent="0.2">
      <c r="A68" s="112" t="s">
        <v>123</v>
      </c>
      <c r="B68" s="133">
        <v>1</v>
      </c>
      <c r="C68" s="56">
        <v>35</v>
      </c>
      <c r="D68" s="54">
        <v>10</v>
      </c>
      <c r="E68" s="55">
        <v>12.96</v>
      </c>
      <c r="F68" s="54">
        <v>10</v>
      </c>
      <c r="G68" s="53">
        <f t="shared" si="8"/>
        <v>1153.6000000000001</v>
      </c>
    </row>
    <row r="69" spans="1:7" s="52" customFormat="1" ht="12.75" x14ac:dyDescent="0.2">
      <c r="A69" s="143" t="s">
        <v>120</v>
      </c>
      <c r="B69" s="144">
        <v>1</v>
      </c>
      <c r="C69" s="56">
        <v>35</v>
      </c>
      <c r="D69" s="54">
        <v>10</v>
      </c>
      <c r="E69" s="55">
        <v>12.96</v>
      </c>
      <c r="F69" s="54">
        <v>10</v>
      </c>
      <c r="G69" s="53">
        <f t="shared" si="8"/>
        <v>1153.6000000000001</v>
      </c>
    </row>
    <row r="70" spans="1:7" s="52" customFormat="1" ht="12.75" x14ac:dyDescent="0.2">
      <c r="G70" s="146">
        <f>SUM(G63:G69)</f>
        <v>22495.199999999997</v>
      </c>
    </row>
    <row r="71" spans="1:7" s="52" customFormat="1" ht="12.75" x14ac:dyDescent="0.2">
      <c r="G71" s="147">
        <f>G60+G70</f>
        <v>45937.299999999996</v>
      </c>
    </row>
    <row r="72" spans="1:7" s="52" customFormat="1" ht="12.75" x14ac:dyDescent="0.2"/>
    <row r="73" spans="1:7" s="52" customFormat="1" ht="12.75" x14ac:dyDescent="0.2"/>
    <row r="74" spans="1:7" s="52" customFormat="1" ht="12.75" x14ac:dyDescent="0.2"/>
    <row r="75" spans="1:7" s="52" customFormat="1" ht="12.75" x14ac:dyDescent="0.2"/>
    <row r="76" spans="1:7" s="52" customFormat="1" ht="12.75" x14ac:dyDescent="0.2"/>
    <row r="77" spans="1:7" s="52" customFormat="1" ht="12.75" x14ac:dyDescent="0.2"/>
    <row r="78" spans="1:7" s="52" customFormat="1" ht="12.75" x14ac:dyDescent="0.2"/>
  </sheetData>
  <mergeCells count="9">
    <mergeCell ref="F47:G47"/>
    <mergeCell ref="H47:I47"/>
    <mergeCell ref="A3:I3"/>
    <mergeCell ref="C23:G23"/>
    <mergeCell ref="H23:I23"/>
    <mergeCell ref="H26:I26"/>
    <mergeCell ref="A44:B44"/>
    <mergeCell ref="C46:G46"/>
    <mergeCell ref="H46:I46"/>
  </mergeCells>
  <phoneticPr fontId="16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C83F7-5C74-4299-B1D2-932B0AECBE2E}">
  <dimension ref="A1:L47"/>
  <sheetViews>
    <sheetView workbookViewId="0">
      <selection activeCell="C7" sqref="C7:C8"/>
    </sheetView>
  </sheetViews>
  <sheetFormatPr defaultColWidth="7.85546875" defaultRowHeight="15" x14ac:dyDescent="0.2"/>
  <cols>
    <col min="1" max="1" width="29.28515625" style="51" customWidth="1"/>
    <col min="2" max="2" width="14.42578125" style="51" customWidth="1"/>
    <col min="3" max="3" width="16" style="51" customWidth="1"/>
    <col min="4" max="5" width="13.7109375" style="51" customWidth="1"/>
    <col min="6" max="6" width="16.85546875" style="51" customWidth="1"/>
    <col min="7" max="7" width="15.140625" style="51" customWidth="1"/>
    <col min="8" max="8" width="13.7109375" style="51" customWidth="1"/>
    <col min="9" max="9" width="17" style="51" customWidth="1"/>
    <col min="10" max="10" width="13.140625" style="51" bestFit="1" customWidth="1"/>
    <col min="11" max="11" width="14.28515625" style="51" bestFit="1" customWidth="1"/>
    <col min="12" max="12" width="16.42578125" style="51" bestFit="1" customWidth="1"/>
    <col min="13" max="255" width="7.85546875" style="51"/>
    <col min="256" max="256" width="29.28515625" style="51" customWidth="1"/>
    <col min="257" max="257" width="14.42578125" style="51" customWidth="1"/>
    <col min="258" max="258" width="16" style="51" customWidth="1"/>
    <col min="259" max="260" width="13.7109375" style="51" customWidth="1"/>
    <col min="261" max="261" width="16.85546875" style="51" customWidth="1"/>
    <col min="262" max="262" width="15.140625" style="51" customWidth="1"/>
    <col min="263" max="263" width="13.7109375" style="51" customWidth="1"/>
    <col min="264" max="264" width="17" style="51" customWidth="1"/>
    <col min="265" max="265" width="13.140625" style="51" bestFit="1" customWidth="1"/>
    <col min="266" max="266" width="7.85546875" style="51"/>
    <col min="267" max="267" width="14.28515625" style="51" bestFit="1" customWidth="1"/>
    <col min="268" max="268" width="16.42578125" style="51" bestFit="1" customWidth="1"/>
    <col min="269" max="511" width="7.85546875" style="51"/>
    <col min="512" max="512" width="29.28515625" style="51" customWidth="1"/>
    <col min="513" max="513" width="14.42578125" style="51" customWidth="1"/>
    <col min="514" max="514" width="16" style="51" customWidth="1"/>
    <col min="515" max="516" width="13.7109375" style="51" customWidth="1"/>
    <col min="517" max="517" width="16.85546875" style="51" customWidth="1"/>
    <col min="518" max="518" width="15.140625" style="51" customWidth="1"/>
    <col min="519" max="519" width="13.7109375" style="51" customWidth="1"/>
    <col min="520" max="520" width="17" style="51" customWidth="1"/>
    <col min="521" max="521" width="13.140625" style="51" bestFit="1" customWidth="1"/>
    <col min="522" max="522" width="7.85546875" style="51"/>
    <col min="523" max="523" width="14.28515625" style="51" bestFit="1" customWidth="1"/>
    <col min="524" max="524" width="16.42578125" style="51" bestFit="1" customWidth="1"/>
    <col min="525" max="767" width="7.85546875" style="51"/>
    <col min="768" max="768" width="29.28515625" style="51" customWidth="1"/>
    <col min="769" max="769" width="14.42578125" style="51" customWidth="1"/>
    <col min="770" max="770" width="16" style="51" customWidth="1"/>
    <col min="771" max="772" width="13.7109375" style="51" customWidth="1"/>
    <col min="773" max="773" width="16.85546875" style="51" customWidth="1"/>
    <col min="774" max="774" width="15.140625" style="51" customWidth="1"/>
    <col min="775" max="775" width="13.7109375" style="51" customWidth="1"/>
    <col min="776" max="776" width="17" style="51" customWidth="1"/>
    <col min="777" max="777" width="13.140625" style="51" bestFit="1" customWidth="1"/>
    <col min="778" max="778" width="7.85546875" style="51"/>
    <col min="779" max="779" width="14.28515625" style="51" bestFit="1" customWidth="1"/>
    <col min="780" max="780" width="16.42578125" style="51" bestFit="1" customWidth="1"/>
    <col min="781" max="1023" width="7.85546875" style="51"/>
    <col min="1024" max="1024" width="29.28515625" style="51" customWidth="1"/>
    <col min="1025" max="1025" width="14.42578125" style="51" customWidth="1"/>
    <col min="1026" max="1026" width="16" style="51" customWidth="1"/>
    <col min="1027" max="1028" width="13.7109375" style="51" customWidth="1"/>
    <col min="1029" max="1029" width="16.85546875" style="51" customWidth="1"/>
    <col min="1030" max="1030" width="15.140625" style="51" customWidth="1"/>
    <col min="1031" max="1031" width="13.7109375" style="51" customWidth="1"/>
    <col min="1032" max="1032" width="17" style="51" customWidth="1"/>
    <col min="1033" max="1033" width="13.140625" style="51" bestFit="1" customWidth="1"/>
    <col min="1034" max="1034" width="7.85546875" style="51"/>
    <col min="1035" max="1035" width="14.28515625" style="51" bestFit="1" customWidth="1"/>
    <col min="1036" max="1036" width="16.42578125" style="51" bestFit="1" customWidth="1"/>
    <col min="1037" max="1279" width="7.85546875" style="51"/>
    <col min="1280" max="1280" width="29.28515625" style="51" customWidth="1"/>
    <col min="1281" max="1281" width="14.42578125" style="51" customWidth="1"/>
    <col min="1282" max="1282" width="16" style="51" customWidth="1"/>
    <col min="1283" max="1284" width="13.7109375" style="51" customWidth="1"/>
    <col min="1285" max="1285" width="16.85546875" style="51" customWidth="1"/>
    <col min="1286" max="1286" width="15.140625" style="51" customWidth="1"/>
    <col min="1287" max="1287" width="13.7109375" style="51" customWidth="1"/>
    <col min="1288" max="1288" width="17" style="51" customWidth="1"/>
    <col min="1289" max="1289" width="13.140625" style="51" bestFit="1" customWidth="1"/>
    <col min="1290" max="1290" width="7.85546875" style="51"/>
    <col min="1291" max="1291" width="14.28515625" style="51" bestFit="1" customWidth="1"/>
    <col min="1292" max="1292" width="16.42578125" style="51" bestFit="1" customWidth="1"/>
    <col min="1293" max="1535" width="7.85546875" style="51"/>
    <col min="1536" max="1536" width="29.28515625" style="51" customWidth="1"/>
    <col min="1537" max="1537" width="14.42578125" style="51" customWidth="1"/>
    <col min="1538" max="1538" width="16" style="51" customWidth="1"/>
    <col min="1539" max="1540" width="13.7109375" style="51" customWidth="1"/>
    <col min="1541" max="1541" width="16.85546875" style="51" customWidth="1"/>
    <col min="1542" max="1542" width="15.140625" style="51" customWidth="1"/>
    <col min="1543" max="1543" width="13.7109375" style="51" customWidth="1"/>
    <col min="1544" max="1544" width="17" style="51" customWidth="1"/>
    <col min="1545" max="1545" width="13.140625" style="51" bestFit="1" customWidth="1"/>
    <col min="1546" max="1546" width="7.85546875" style="51"/>
    <col min="1547" max="1547" width="14.28515625" style="51" bestFit="1" customWidth="1"/>
    <col min="1548" max="1548" width="16.42578125" style="51" bestFit="1" customWidth="1"/>
    <col min="1549" max="1791" width="7.85546875" style="51"/>
    <col min="1792" max="1792" width="29.28515625" style="51" customWidth="1"/>
    <col min="1793" max="1793" width="14.42578125" style="51" customWidth="1"/>
    <col min="1794" max="1794" width="16" style="51" customWidth="1"/>
    <col min="1795" max="1796" width="13.7109375" style="51" customWidth="1"/>
    <col min="1797" max="1797" width="16.85546875" style="51" customWidth="1"/>
    <col min="1798" max="1798" width="15.140625" style="51" customWidth="1"/>
    <col min="1799" max="1799" width="13.7109375" style="51" customWidth="1"/>
    <col min="1800" max="1800" width="17" style="51" customWidth="1"/>
    <col min="1801" max="1801" width="13.140625" style="51" bestFit="1" customWidth="1"/>
    <col min="1802" max="1802" width="7.85546875" style="51"/>
    <col min="1803" max="1803" width="14.28515625" style="51" bestFit="1" customWidth="1"/>
    <col min="1804" max="1804" width="16.42578125" style="51" bestFit="1" customWidth="1"/>
    <col min="1805" max="2047" width="7.85546875" style="51"/>
    <col min="2048" max="2048" width="29.28515625" style="51" customWidth="1"/>
    <col min="2049" max="2049" width="14.42578125" style="51" customWidth="1"/>
    <col min="2050" max="2050" width="16" style="51" customWidth="1"/>
    <col min="2051" max="2052" width="13.7109375" style="51" customWidth="1"/>
    <col min="2053" max="2053" width="16.85546875" style="51" customWidth="1"/>
    <col min="2054" max="2054" width="15.140625" style="51" customWidth="1"/>
    <col min="2055" max="2055" width="13.7109375" style="51" customWidth="1"/>
    <col min="2056" max="2056" width="17" style="51" customWidth="1"/>
    <col min="2057" max="2057" width="13.140625" style="51" bestFit="1" customWidth="1"/>
    <col min="2058" max="2058" width="7.85546875" style="51"/>
    <col min="2059" max="2059" width="14.28515625" style="51" bestFit="1" customWidth="1"/>
    <col min="2060" max="2060" width="16.42578125" style="51" bestFit="1" customWidth="1"/>
    <col min="2061" max="2303" width="7.85546875" style="51"/>
    <col min="2304" max="2304" width="29.28515625" style="51" customWidth="1"/>
    <col min="2305" max="2305" width="14.42578125" style="51" customWidth="1"/>
    <col min="2306" max="2306" width="16" style="51" customWidth="1"/>
    <col min="2307" max="2308" width="13.7109375" style="51" customWidth="1"/>
    <col min="2309" max="2309" width="16.85546875" style="51" customWidth="1"/>
    <col min="2310" max="2310" width="15.140625" style="51" customWidth="1"/>
    <col min="2311" max="2311" width="13.7109375" style="51" customWidth="1"/>
    <col min="2312" max="2312" width="17" style="51" customWidth="1"/>
    <col min="2313" max="2313" width="13.140625" style="51" bestFit="1" customWidth="1"/>
    <col min="2314" max="2314" width="7.85546875" style="51"/>
    <col min="2315" max="2315" width="14.28515625" style="51" bestFit="1" customWidth="1"/>
    <col min="2316" max="2316" width="16.42578125" style="51" bestFit="1" customWidth="1"/>
    <col min="2317" max="2559" width="7.85546875" style="51"/>
    <col min="2560" max="2560" width="29.28515625" style="51" customWidth="1"/>
    <col min="2561" max="2561" width="14.42578125" style="51" customWidth="1"/>
    <col min="2562" max="2562" width="16" style="51" customWidth="1"/>
    <col min="2563" max="2564" width="13.7109375" style="51" customWidth="1"/>
    <col min="2565" max="2565" width="16.85546875" style="51" customWidth="1"/>
    <col min="2566" max="2566" width="15.140625" style="51" customWidth="1"/>
    <col min="2567" max="2567" width="13.7109375" style="51" customWidth="1"/>
    <col min="2568" max="2568" width="17" style="51" customWidth="1"/>
    <col min="2569" max="2569" width="13.140625" style="51" bestFit="1" customWidth="1"/>
    <col min="2570" max="2570" width="7.85546875" style="51"/>
    <col min="2571" max="2571" width="14.28515625" style="51" bestFit="1" customWidth="1"/>
    <col min="2572" max="2572" width="16.42578125" style="51" bestFit="1" customWidth="1"/>
    <col min="2573" max="2815" width="7.85546875" style="51"/>
    <col min="2816" max="2816" width="29.28515625" style="51" customWidth="1"/>
    <col min="2817" max="2817" width="14.42578125" style="51" customWidth="1"/>
    <col min="2818" max="2818" width="16" style="51" customWidth="1"/>
    <col min="2819" max="2820" width="13.7109375" style="51" customWidth="1"/>
    <col min="2821" max="2821" width="16.85546875" style="51" customWidth="1"/>
    <col min="2822" max="2822" width="15.140625" style="51" customWidth="1"/>
    <col min="2823" max="2823" width="13.7109375" style="51" customWidth="1"/>
    <col min="2824" max="2824" width="17" style="51" customWidth="1"/>
    <col min="2825" max="2825" width="13.140625" style="51" bestFit="1" customWidth="1"/>
    <col min="2826" max="2826" width="7.85546875" style="51"/>
    <col min="2827" max="2827" width="14.28515625" style="51" bestFit="1" customWidth="1"/>
    <col min="2828" max="2828" width="16.42578125" style="51" bestFit="1" customWidth="1"/>
    <col min="2829" max="3071" width="7.85546875" style="51"/>
    <col min="3072" max="3072" width="29.28515625" style="51" customWidth="1"/>
    <col min="3073" max="3073" width="14.42578125" style="51" customWidth="1"/>
    <col min="3074" max="3074" width="16" style="51" customWidth="1"/>
    <col min="3075" max="3076" width="13.7109375" style="51" customWidth="1"/>
    <col min="3077" max="3077" width="16.85546875" style="51" customWidth="1"/>
    <col min="3078" max="3078" width="15.140625" style="51" customWidth="1"/>
    <col min="3079" max="3079" width="13.7109375" style="51" customWidth="1"/>
    <col min="3080" max="3080" width="17" style="51" customWidth="1"/>
    <col min="3081" max="3081" width="13.140625" style="51" bestFit="1" customWidth="1"/>
    <col min="3082" max="3082" width="7.85546875" style="51"/>
    <col min="3083" max="3083" width="14.28515625" style="51" bestFit="1" customWidth="1"/>
    <col min="3084" max="3084" width="16.42578125" style="51" bestFit="1" customWidth="1"/>
    <col min="3085" max="3327" width="7.85546875" style="51"/>
    <col min="3328" max="3328" width="29.28515625" style="51" customWidth="1"/>
    <col min="3329" max="3329" width="14.42578125" style="51" customWidth="1"/>
    <col min="3330" max="3330" width="16" style="51" customWidth="1"/>
    <col min="3331" max="3332" width="13.7109375" style="51" customWidth="1"/>
    <col min="3333" max="3333" width="16.85546875" style="51" customWidth="1"/>
    <col min="3334" max="3334" width="15.140625" style="51" customWidth="1"/>
    <col min="3335" max="3335" width="13.7109375" style="51" customWidth="1"/>
    <col min="3336" max="3336" width="17" style="51" customWidth="1"/>
    <col min="3337" max="3337" width="13.140625" style="51" bestFit="1" customWidth="1"/>
    <col min="3338" max="3338" width="7.85546875" style="51"/>
    <col min="3339" max="3339" width="14.28515625" style="51" bestFit="1" customWidth="1"/>
    <col min="3340" max="3340" width="16.42578125" style="51" bestFit="1" customWidth="1"/>
    <col min="3341" max="3583" width="7.85546875" style="51"/>
    <col min="3584" max="3584" width="29.28515625" style="51" customWidth="1"/>
    <col min="3585" max="3585" width="14.42578125" style="51" customWidth="1"/>
    <col min="3586" max="3586" width="16" style="51" customWidth="1"/>
    <col min="3587" max="3588" width="13.7109375" style="51" customWidth="1"/>
    <col min="3589" max="3589" width="16.85546875" style="51" customWidth="1"/>
    <col min="3590" max="3590" width="15.140625" style="51" customWidth="1"/>
    <col min="3591" max="3591" width="13.7109375" style="51" customWidth="1"/>
    <col min="3592" max="3592" width="17" style="51" customWidth="1"/>
    <col min="3593" max="3593" width="13.140625" style="51" bestFit="1" customWidth="1"/>
    <col min="3594" max="3594" width="7.85546875" style="51"/>
    <col min="3595" max="3595" width="14.28515625" style="51" bestFit="1" customWidth="1"/>
    <col min="3596" max="3596" width="16.42578125" style="51" bestFit="1" customWidth="1"/>
    <col min="3597" max="3839" width="7.85546875" style="51"/>
    <col min="3840" max="3840" width="29.28515625" style="51" customWidth="1"/>
    <col min="3841" max="3841" width="14.42578125" style="51" customWidth="1"/>
    <col min="3842" max="3842" width="16" style="51" customWidth="1"/>
    <col min="3843" max="3844" width="13.7109375" style="51" customWidth="1"/>
    <col min="3845" max="3845" width="16.85546875" style="51" customWidth="1"/>
    <col min="3846" max="3846" width="15.140625" style="51" customWidth="1"/>
    <col min="3847" max="3847" width="13.7109375" style="51" customWidth="1"/>
    <col min="3848" max="3848" width="17" style="51" customWidth="1"/>
    <col min="3849" max="3849" width="13.140625" style="51" bestFit="1" customWidth="1"/>
    <col min="3850" max="3850" width="7.85546875" style="51"/>
    <col min="3851" max="3851" width="14.28515625" style="51" bestFit="1" customWidth="1"/>
    <col min="3852" max="3852" width="16.42578125" style="51" bestFit="1" customWidth="1"/>
    <col min="3853" max="4095" width="7.85546875" style="51"/>
    <col min="4096" max="4096" width="29.28515625" style="51" customWidth="1"/>
    <col min="4097" max="4097" width="14.42578125" style="51" customWidth="1"/>
    <col min="4098" max="4098" width="16" style="51" customWidth="1"/>
    <col min="4099" max="4100" width="13.7109375" style="51" customWidth="1"/>
    <col min="4101" max="4101" width="16.85546875" style="51" customWidth="1"/>
    <col min="4102" max="4102" width="15.140625" style="51" customWidth="1"/>
    <col min="4103" max="4103" width="13.7109375" style="51" customWidth="1"/>
    <col min="4104" max="4104" width="17" style="51" customWidth="1"/>
    <col min="4105" max="4105" width="13.140625" style="51" bestFit="1" customWidth="1"/>
    <col min="4106" max="4106" width="7.85546875" style="51"/>
    <col min="4107" max="4107" width="14.28515625" style="51" bestFit="1" customWidth="1"/>
    <col min="4108" max="4108" width="16.42578125" style="51" bestFit="1" customWidth="1"/>
    <col min="4109" max="4351" width="7.85546875" style="51"/>
    <col min="4352" max="4352" width="29.28515625" style="51" customWidth="1"/>
    <col min="4353" max="4353" width="14.42578125" style="51" customWidth="1"/>
    <col min="4354" max="4354" width="16" style="51" customWidth="1"/>
    <col min="4355" max="4356" width="13.7109375" style="51" customWidth="1"/>
    <col min="4357" max="4357" width="16.85546875" style="51" customWidth="1"/>
    <col min="4358" max="4358" width="15.140625" style="51" customWidth="1"/>
    <col min="4359" max="4359" width="13.7109375" style="51" customWidth="1"/>
    <col min="4360" max="4360" width="17" style="51" customWidth="1"/>
    <col min="4361" max="4361" width="13.140625" style="51" bestFit="1" customWidth="1"/>
    <col min="4362" max="4362" width="7.85546875" style="51"/>
    <col min="4363" max="4363" width="14.28515625" style="51" bestFit="1" customWidth="1"/>
    <col min="4364" max="4364" width="16.42578125" style="51" bestFit="1" customWidth="1"/>
    <col min="4365" max="4607" width="7.85546875" style="51"/>
    <col min="4608" max="4608" width="29.28515625" style="51" customWidth="1"/>
    <col min="4609" max="4609" width="14.42578125" style="51" customWidth="1"/>
    <col min="4610" max="4610" width="16" style="51" customWidth="1"/>
    <col min="4611" max="4612" width="13.7109375" style="51" customWidth="1"/>
    <col min="4613" max="4613" width="16.85546875" style="51" customWidth="1"/>
    <col min="4614" max="4614" width="15.140625" style="51" customWidth="1"/>
    <col min="4615" max="4615" width="13.7109375" style="51" customWidth="1"/>
    <col min="4616" max="4616" width="17" style="51" customWidth="1"/>
    <col min="4617" max="4617" width="13.140625" style="51" bestFit="1" customWidth="1"/>
    <col min="4618" max="4618" width="7.85546875" style="51"/>
    <col min="4619" max="4619" width="14.28515625" style="51" bestFit="1" customWidth="1"/>
    <col min="4620" max="4620" width="16.42578125" style="51" bestFit="1" customWidth="1"/>
    <col min="4621" max="4863" width="7.85546875" style="51"/>
    <col min="4864" max="4864" width="29.28515625" style="51" customWidth="1"/>
    <col min="4865" max="4865" width="14.42578125" style="51" customWidth="1"/>
    <col min="4866" max="4866" width="16" style="51" customWidth="1"/>
    <col min="4867" max="4868" width="13.7109375" style="51" customWidth="1"/>
    <col min="4869" max="4869" width="16.85546875" style="51" customWidth="1"/>
    <col min="4870" max="4870" width="15.140625" style="51" customWidth="1"/>
    <col min="4871" max="4871" width="13.7109375" style="51" customWidth="1"/>
    <col min="4872" max="4872" width="17" style="51" customWidth="1"/>
    <col min="4873" max="4873" width="13.140625" style="51" bestFit="1" customWidth="1"/>
    <col min="4874" max="4874" width="7.85546875" style="51"/>
    <col min="4875" max="4875" width="14.28515625" style="51" bestFit="1" customWidth="1"/>
    <col min="4876" max="4876" width="16.42578125" style="51" bestFit="1" customWidth="1"/>
    <col min="4877" max="5119" width="7.85546875" style="51"/>
    <col min="5120" max="5120" width="29.28515625" style="51" customWidth="1"/>
    <col min="5121" max="5121" width="14.42578125" style="51" customWidth="1"/>
    <col min="5122" max="5122" width="16" style="51" customWidth="1"/>
    <col min="5123" max="5124" width="13.7109375" style="51" customWidth="1"/>
    <col min="5125" max="5125" width="16.85546875" style="51" customWidth="1"/>
    <col min="5126" max="5126" width="15.140625" style="51" customWidth="1"/>
    <col min="5127" max="5127" width="13.7109375" style="51" customWidth="1"/>
    <col min="5128" max="5128" width="17" style="51" customWidth="1"/>
    <col min="5129" max="5129" width="13.140625" style="51" bestFit="1" customWidth="1"/>
    <col min="5130" max="5130" width="7.85546875" style="51"/>
    <col min="5131" max="5131" width="14.28515625" style="51" bestFit="1" customWidth="1"/>
    <col min="5132" max="5132" width="16.42578125" style="51" bestFit="1" customWidth="1"/>
    <col min="5133" max="5375" width="7.85546875" style="51"/>
    <col min="5376" max="5376" width="29.28515625" style="51" customWidth="1"/>
    <col min="5377" max="5377" width="14.42578125" style="51" customWidth="1"/>
    <col min="5378" max="5378" width="16" style="51" customWidth="1"/>
    <col min="5379" max="5380" width="13.7109375" style="51" customWidth="1"/>
    <col min="5381" max="5381" width="16.85546875" style="51" customWidth="1"/>
    <col min="5382" max="5382" width="15.140625" style="51" customWidth="1"/>
    <col min="5383" max="5383" width="13.7109375" style="51" customWidth="1"/>
    <col min="5384" max="5384" width="17" style="51" customWidth="1"/>
    <col min="5385" max="5385" width="13.140625" style="51" bestFit="1" customWidth="1"/>
    <col min="5386" max="5386" width="7.85546875" style="51"/>
    <col min="5387" max="5387" width="14.28515625" style="51" bestFit="1" customWidth="1"/>
    <col min="5388" max="5388" width="16.42578125" style="51" bestFit="1" customWidth="1"/>
    <col min="5389" max="5631" width="7.85546875" style="51"/>
    <col min="5632" max="5632" width="29.28515625" style="51" customWidth="1"/>
    <col min="5633" max="5633" width="14.42578125" style="51" customWidth="1"/>
    <col min="5634" max="5634" width="16" style="51" customWidth="1"/>
    <col min="5635" max="5636" width="13.7109375" style="51" customWidth="1"/>
    <col min="5637" max="5637" width="16.85546875" style="51" customWidth="1"/>
    <col min="5638" max="5638" width="15.140625" style="51" customWidth="1"/>
    <col min="5639" max="5639" width="13.7109375" style="51" customWidth="1"/>
    <col min="5640" max="5640" width="17" style="51" customWidth="1"/>
    <col min="5641" max="5641" width="13.140625" style="51" bestFit="1" customWidth="1"/>
    <col min="5642" max="5642" width="7.85546875" style="51"/>
    <col min="5643" max="5643" width="14.28515625" style="51" bestFit="1" customWidth="1"/>
    <col min="5644" max="5644" width="16.42578125" style="51" bestFit="1" customWidth="1"/>
    <col min="5645" max="5887" width="7.85546875" style="51"/>
    <col min="5888" max="5888" width="29.28515625" style="51" customWidth="1"/>
    <col min="5889" max="5889" width="14.42578125" style="51" customWidth="1"/>
    <col min="5890" max="5890" width="16" style="51" customWidth="1"/>
    <col min="5891" max="5892" width="13.7109375" style="51" customWidth="1"/>
    <col min="5893" max="5893" width="16.85546875" style="51" customWidth="1"/>
    <col min="5894" max="5894" width="15.140625" style="51" customWidth="1"/>
    <col min="5895" max="5895" width="13.7109375" style="51" customWidth="1"/>
    <col min="5896" max="5896" width="17" style="51" customWidth="1"/>
    <col min="5897" max="5897" width="13.140625" style="51" bestFit="1" customWidth="1"/>
    <col min="5898" max="5898" width="7.85546875" style="51"/>
    <col min="5899" max="5899" width="14.28515625" style="51" bestFit="1" customWidth="1"/>
    <col min="5900" max="5900" width="16.42578125" style="51" bestFit="1" customWidth="1"/>
    <col min="5901" max="6143" width="7.85546875" style="51"/>
    <col min="6144" max="6144" width="29.28515625" style="51" customWidth="1"/>
    <col min="6145" max="6145" width="14.42578125" style="51" customWidth="1"/>
    <col min="6146" max="6146" width="16" style="51" customWidth="1"/>
    <col min="6147" max="6148" width="13.7109375" style="51" customWidth="1"/>
    <col min="6149" max="6149" width="16.85546875" style="51" customWidth="1"/>
    <col min="6150" max="6150" width="15.140625" style="51" customWidth="1"/>
    <col min="6151" max="6151" width="13.7109375" style="51" customWidth="1"/>
    <col min="6152" max="6152" width="17" style="51" customWidth="1"/>
    <col min="6153" max="6153" width="13.140625" style="51" bestFit="1" customWidth="1"/>
    <col min="6154" max="6154" width="7.85546875" style="51"/>
    <col min="6155" max="6155" width="14.28515625" style="51" bestFit="1" customWidth="1"/>
    <col min="6156" max="6156" width="16.42578125" style="51" bestFit="1" customWidth="1"/>
    <col min="6157" max="6399" width="7.85546875" style="51"/>
    <col min="6400" max="6400" width="29.28515625" style="51" customWidth="1"/>
    <col min="6401" max="6401" width="14.42578125" style="51" customWidth="1"/>
    <col min="6402" max="6402" width="16" style="51" customWidth="1"/>
    <col min="6403" max="6404" width="13.7109375" style="51" customWidth="1"/>
    <col min="6405" max="6405" width="16.85546875" style="51" customWidth="1"/>
    <col min="6406" max="6406" width="15.140625" style="51" customWidth="1"/>
    <col min="6407" max="6407" width="13.7109375" style="51" customWidth="1"/>
    <col min="6408" max="6408" width="17" style="51" customWidth="1"/>
    <col min="6409" max="6409" width="13.140625" style="51" bestFit="1" customWidth="1"/>
    <col min="6410" max="6410" width="7.85546875" style="51"/>
    <col min="6411" max="6411" width="14.28515625" style="51" bestFit="1" customWidth="1"/>
    <col min="6412" max="6412" width="16.42578125" style="51" bestFit="1" customWidth="1"/>
    <col min="6413" max="6655" width="7.85546875" style="51"/>
    <col min="6656" max="6656" width="29.28515625" style="51" customWidth="1"/>
    <col min="6657" max="6657" width="14.42578125" style="51" customWidth="1"/>
    <col min="6658" max="6658" width="16" style="51" customWidth="1"/>
    <col min="6659" max="6660" width="13.7109375" style="51" customWidth="1"/>
    <col min="6661" max="6661" width="16.85546875" style="51" customWidth="1"/>
    <col min="6662" max="6662" width="15.140625" style="51" customWidth="1"/>
    <col min="6663" max="6663" width="13.7109375" style="51" customWidth="1"/>
    <col min="6664" max="6664" width="17" style="51" customWidth="1"/>
    <col min="6665" max="6665" width="13.140625" style="51" bestFit="1" customWidth="1"/>
    <col min="6666" max="6666" width="7.85546875" style="51"/>
    <col min="6667" max="6667" width="14.28515625" style="51" bestFit="1" customWidth="1"/>
    <col min="6668" max="6668" width="16.42578125" style="51" bestFit="1" customWidth="1"/>
    <col min="6669" max="6911" width="7.85546875" style="51"/>
    <col min="6912" max="6912" width="29.28515625" style="51" customWidth="1"/>
    <col min="6913" max="6913" width="14.42578125" style="51" customWidth="1"/>
    <col min="6914" max="6914" width="16" style="51" customWidth="1"/>
    <col min="6915" max="6916" width="13.7109375" style="51" customWidth="1"/>
    <col min="6917" max="6917" width="16.85546875" style="51" customWidth="1"/>
    <col min="6918" max="6918" width="15.140625" style="51" customWidth="1"/>
    <col min="6919" max="6919" width="13.7109375" style="51" customWidth="1"/>
    <col min="6920" max="6920" width="17" style="51" customWidth="1"/>
    <col min="6921" max="6921" width="13.140625" style="51" bestFit="1" customWidth="1"/>
    <col min="6922" max="6922" width="7.85546875" style="51"/>
    <col min="6923" max="6923" width="14.28515625" style="51" bestFit="1" customWidth="1"/>
    <col min="6924" max="6924" width="16.42578125" style="51" bestFit="1" customWidth="1"/>
    <col min="6925" max="7167" width="7.85546875" style="51"/>
    <col min="7168" max="7168" width="29.28515625" style="51" customWidth="1"/>
    <col min="7169" max="7169" width="14.42578125" style="51" customWidth="1"/>
    <col min="7170" max="7170" width="16" style="51" customWidth="1"/>
    <col min="7171" max="7172" width="13.7109375" style="51" customWidth="1"/>
    <col min="7173" max="7173" width="16.85546875" style="51" customWidth="1"/>
    <col min="7174" max="7174" width="15.140625" style="51" customWidth="1"/>
    <col min="7175" max="7175" width="13.7109375" style="51" customWidth="1"/>
    <col min="7176" max="7176" width="17" style="51" customWidth="1"/>
    <col min="7177" max="7177" width="13.140625" style="51" bestFit="1" customWidth="1"/>
    <col min="7178" max="7178" width="7.85546875" style="51"/>
    <col min="7179" max="7179" width="14.28515625" style="51" bestFit="1" customWidth="1"/>
    <col min="7180" max="7180" width="16.42578125" style="51" bestFit="1" customWidth="1"/>
    <col min="7181" max="7423" width="7.85546875" style="51"/>
    <col min="7424" max="7424" width="29.28515625" style="51" customWidth="1"/>
    <col min="7425" max="7425" width="14.42578125" style="51" customWidth="1"/>
    <col min="7426" max="7426" width="16" style="51" customWidth="1"/>
    <col min="7427" max="7428" width="13.7109375" style="51" customWidth="1"/>
    <col min="7429" max="7429" width="16.85546875" style="51" customWidth="1"/>
    <col min="7430" max="7430" width="15.140625" style="51" customWidth="1"/>
    <col min="7431" max="7431" width="13.7109375" style="51" customWidth="1"/>
    <col min="7432" max="7432" width="17" style="51" customWidth="1"/>
    <col min="7433" max="7433" width="13.140625" style="51" bestFit="1" customWidth="1"/>
    <col min="7434" max="7434" width="7.85546875" style="51"/>
    <col min="7435" max="7435" width="14.28515625" style="51" bestFit="1" customWidth="1"/>
    <col min="7436" max="7436" width="16.42578125" style="51" bestFit="1" customWidth="1"/>
    <col min="7437" max="7679" width="7.85546875" style="51"/>
    <col min="7680" max="7680" width="29.28515625" style="51" customWidth="1"/>
    <col min="7681" max="7681" width="14.42578125" style="51" customWidth="1"/>
    <col min="7682" max="7682" width="16" style="51" customWidth="1"/>
    <col min="7683" max="7684" width="13.7109375" style="51" customWidth="1"/>
    <col min="7685" max="7685" width="16.85546875" style="51" customWidth="1"/>
    <col min="7686" max="7686" width="15.140625" style="51" customWidth="1"/>
    <col min="7687" max="7687" width="13.7109375" style="51" customWidth="1"/>
    <col min="7688" max="7688" width="17" style="51" customWidth="1"/>
    <col min="7689" max="7689" width="13.140625" style="51" bestFit="1" customWidth="1"/>
    <col min="7690" max="7690" width="7.85546875" style="51"/>
    <col min="7691" max="7691" width="14.28515625" style="51" bestFit="1" customWidth="1"/>
    <col min="7692" max="7692" width="16.42578125" style="51" bestFit="1" customWidth="1"/>
    <col min="7693" max="7935" width="7.85546875" style="51"/>
    <col min="7936" max="7936" width="29.28515625" style="51" customWidth="1"/>
    <col min="7937" max="7937" width="14.42578125" style="51" customWidth="1"/>
    <col min="7938" max="7938" width="16" style="51" customWidth="1"/>
    <col min="7939" max="7940" width="13.7109375" style="51" customWidth="1"/>
    <col min="7941" max="7941" width="16.85546875" style="51" customWidth="1"/>
    <col min="7942" max="7942" width="15.140625" style="51" customWidth="1"/>
    <col min="7943" max="7943" width="13.7109375" style="51" customWidth="1"/>
    <col min="7944" max="7944" width="17" style="51" customWidth="1"/>
    <col min="7945" max="7945" width="13.140625" style="51" bestFit="1" customWidth="1"/>
    <col min="7946" max="7946" width="7.85546875" style="51"/>
    <col min="7947" max="7947" width="14.28515625" style="51" bestFit="1" customWidth="1"/>
    <col min="7948" max="7948" width="16.42578125" style="51" bestFit="1" customWidth="1"/>
    <col min="7949" max="8191" width="7.85546875" style="51"/>
    <col min="8192" max="8192" width="29.28515625" style="51" customWidth="1"/>
    <col min="8193" max="8193" width="14.42578125" style="51" customWidth="1"/>
    <col min="8194" max="8194" width="16" style="51" customWidth="1"/>
    <col min="8195" max="8196" width="13.7109375" style="51" customWidth="1"/>
    <col min="8197" max="8197" width="16.85546875" style="51" customWidth="1"/>
    <col min="8198" max="8198" width="15.140625" style="51" customWidth="1"/>
    <col min="8199" max="8199" width="13.7109375" style="51" customWidth="1"/>
    <col min="8200" max="8200" width="17" style="51" customWidth="1"/>
    <col min="8201" max="8201" width="13.140625" style="51" bestFit="1" customWidth="1"/>
    <col min="8202" max="8202" width="7.85546875" style="51"/>
    <col min="8203" max="8203" width="14.28515625" style="51" bestFit="1" customWidth="1"/>
    <col min="8204" max="8204" width="16.42578125" style="51" bestFit="1" customWidth="1"/>
    <col min="8205" max="8447" width="7.85546875" style="51"/>
    <col min="8448" max="8448" width="29.28515625" style="51" customWidth="1"/>
    <col min="8449" max="8449" width="14.42578125" style="51" customWidth="1"/>
    <col min="8450" max="8450" width="16" style="51" customWidth="1"/>
    <col min="8451" max="8452" width="13.7109375" style="51" customWidth="1"/>
    <col min="8453" max="8453" width="16.85546875" style="51" customWidth="1"/>
    <col min="8454" max="8454" width="15.140625" style="51" customWidth="1"/>
    <col min="8455" max="8455" width="13.7109375" style="51" customWidth="1"/>
    <col min="8456" max="8456" width="17" style="51" customWidth="1"/>
    <col min="8457" max="8457" width="13.140625" style="51" bestFit="1" customWidth="1"/>
    <col min="8458" max="8458" width="7.85546875" style="51"/>
    <col min="8459" max="8459" width="14.28515625" style="51" bestFit="1" customWidth="1"/>
    <col min="8460" max="8460" width="16.42578125" style="51" bestFit="1" customWidth="1"/>
    <col min="8461" max="8703" width="7.85546875" style="51"/>
    <col min="8704" max="8704" width="29.28515625" style="51" customWidth="1"/>
    <col min="8705" max="8705" width="14.42578125" style="51" customWidth="1"/>
    <col min="8706" max="8706" width="16" style="51" customWidth="1"/>
    <col min="8707" max="8708" width="13.7109375" style="51" customWidth="1"/>
    <col min="8709" max="8709" width="16.85546875" style="51" customWidth="1"/>
    <col min="8710" max="8710" width="15.140625" style="51" customWidth="1"/>
    <col min="8711" max="8711" width="13.7109375" style="51" customWidth="1"/>
    <col min="8712" max="8712" width="17" style="51" customWidth="1"/>
    <col min="8713" max="8713" width="13.140625" style="51" bestFit="1" customWidth="1"/>
    <col min="8714" max="8714" width="7.85546875" style="51"/>
    <col min="8715" max="8715" width="14.28515625" style="51" bestFit="1" customWidth="1"/>
    <col min="8716" max="8716" width="16.42578125" style="51" bestFit="1" customWidth="1"/>
    <col min="8717" max="8959" width="7.85546875" style="51"/>
    <col min="8960" max="8960" width="29.28515625" style="51" customWidth="1"/>
    <col min="8961" max="8961" width="14.42578125" style="51" customWidth="1"/>
    <col min="8962" max="8962" width="16" style="51" customWidth="1"/>
    <col min="8963" max="8964" width="13.7109375" style="51" customWidth="1"/>
    <col min="8965" max="8965" width="16.85546875" style="51" customWidth="1"/>
    <col min="8966" max="8966" width="15.140625" style="51" customWidth="1"/>
    <col min="8967" max="8967" width="13.7109375" style="51" customWidth="1"/>
    <col min="8968" max="8968" width="17" style="51" customWidth="1"/>
    <col min="8969" max="8969" width="13.140625" style="51" bestFit="1" customWidth="1"/>
    <col min="8970" max="8970" width="7.85546875" style="51"/>
    <col min="8971" max="8971" width="14.28515625" style="51" bestFit="1" customWidth="1"/>
    <col min="8972" max="8972" width="16.42578125" style="51" bestFit="1" customWidth="1"/>
    <col min="8973" max="9215" width="7.85546875" style="51"/>
    <col min="9216" max="9216" width="29.28515625" style="51" customWidth="1"/>
    <col min="9217" max="9217" width="14.42578125" style="51" customWidth="1"/>
    <col min="9218" max="9218" width="16" style="51" customWidth="1"/>
    <col min="9219" max="9220" width="13.7109375" style="51" customWidth="1"/>
    <col min="9221" max="9221" width="16.85546875" style="51" customWidth="1"/>
    <col min="9222" max="9222" width="15.140625" style="51" customWidth="1"/>
    <col min="9223" max="9223" width="13.7109375" style="51" customWidth="1"/>
    <col min="9224" max="9224" width="17" style="51" customWidth="1"/>
    <col min="9225" max="9225" width="13.140625" style="51" bestFit="1" customWidth="1"/>
    <col min="9226" max="9226" width="7.85546875" style="51"/>
    <col min="9227" max="9227" width="14.28515625" style="51" bestFit="1" customWidth="1"/>
    <col min="9228" max="9228" width="16.42578125" style="51" bestFit="1" customWidth="1"/>
    <col min="9229" max="9471" width="7.85546875" style="51"/>
    <col min="9472" max="9472" width="29.28515625" style="51" customWidth="1"/>
    <col min="9473" max="9473" width="14.42578125" style="51" customWidth="1"/>
    <col min="9474" max="9474" width="16" style="51" customWidth="1"/>
    <col min="9475" max="9476" width="13.7109375" style="51" customWidth="1"/>
    <col min="9477" max="9477" width="16.85546875" style="51" customWidth="1"/>
    <col min="9478" max="9478" width="15.140625" style="51" customWidth="1"/>
    <col min="9479" max="9479" width="13.7109375" style="51" customWidth="1"/>
    <col min="9480" max="9480" width="17" style="51" customWidth="1"/>
    <col min="9481" max="9481" width="13.140625" style="51" bestFit="1" customWidth="1"/>
    <col min="9482" max="9482" width="7.85546875" style="51"/>
    <col min="9483" max="9483" width="14.28515625" style="51" bestFit="1" customWidth="1"/>
    <col min="9484" max="9484" width="16.42578125" style="51" bestFit="1" customWidth="1"/>
    <col min="9485" max="9727" width="7.85546875" style="51"/>
    <col min="9728" max="9728" width="29.28515625" style="51" customWidth="1"/>
    <col min="9729" max="9729" width="14.42578125" style="51" customWidth="1"/>
    <col min="9730" max="9730" width="16" style="51" customWidth="1"/>
    <col min="9731" max="9732" width="13.7109375" style="51" customWidth="1"/>
    <col min="9733" max="9733" width="16.85546875" style="51" customWidth="1"/>
    <col min="9734" max="9734" width="15.140625" style="51" customWidth="1"/>
    <col min="9735" max="9735" width="13.7109375" style="51" customWidth="1"/>
    <col min="9736" max="9736" width="17" style="51" customWidth="1"/>
    <col min="9737" max="9737" width="13.140625" style="51" bestFit="1" customWidth="1"/>
    <col min="9738" max="9738" width="7.85546875" style="51"/>
    <col min="9739" max="9739" width="14.28515625" style="51" bestFit="1" customWidth="1"/>
    <col min="9740" max="9740" width="16.42578125" style="51" bestFit="1" customWidth="1"/>
    <col min="9741" max="9983" width="7.85546875" style="51"/>
    <col min="9984" max="9984" width="29.28515625" style="51" customWidth="1"/>
    <col min="9985" max="9985" width="14.42578125" style="51" customWidth="1"/>
    <col min="9986" max="9986" width="16" style="51" customWidth="1"/>
    <col min="9987" max="9988" width="13.7109375" style="51" customWidth="1"/>
    <col min="9989" max="9989" width="16.85546875" style="51" customWidth="1"/>
    <col min="9990" max="9990" width="15.140625" style="51" customWidth="1"/>
    <col min="9991" max="9991" width="13.7109375" style="51" customWidth="1"/>
    <col min="9992" max="9992" width="17" style="51" customWidth="1"/>
    <col min="9993" max="9993" width="13.140625" style="51" bestFit="1" customWidth="1"/>
    <col min="9994" max="9994" width="7.85546875" style="51"/>
    <col min="9995" max="9995" width="14.28515625" style="51" bestFit="1" customWidth="1"/>
    <col min="9996" max="9996" width="16.42578125" style="51" bestFit="1" customWidth="1"/>
    <col min="9997" max="10239" width="7.85546875" style="51"/>
    <col min="10240" max="10240" width="29.28515625" style="51" customWidth="1"/>
    <col min="10241" max="10241" width="14.42578125" style="51" customWidth="1"/>
    <col min="10242" max="10242" width="16" style="51" customWidth="1"/>
    <col min="10243" max="10244" width="13.7109375" style="51" customWidth="1"/>
    <col min="10245" max="10245" width="16.85546875" style="51" customWidth="1"/>
    <col min="10246" max="10246" width="15.140625" style="51" customWidth="1"/>
    <col min="10247" max="10247" width="13.7109375" style="51" customWidth="1"/>
    <col min="10248" max="10248" width="17" style="51" customWidth="1"/>
    <col min="10249" max="10249" width="13.140625" style="51" bestFit="1" customWidth="1"/>
    <col min="10250" max="10250" width="7.85546875" style="51"/>
    <col min="10251" max="10251" width="14.28515625" style="51" bestFit="1" customWidth="1"/>
    <col min="10252" max="10252" width="16.42578125" style="51" bestFit="1" customWidth="1"/>
    <col min="10253" max="10495" width="7.85546875" style="51"/>
    <col min="10496" max="10496" width="29.28515625" style="51" customWidth="1"/>
    <col min="10497" max="10497" width="14.42578125" style="51" customWidth="1"/>
    <col min="10498" max="10498" width="16" style="51" customWidth="1"/>
    <col min="10499" max="10500" width="13.7109375" style="51" customWidth="1"/>
    <col min="10501" max="10501" width="16.85546875" style="51" customWidth="1"/>
    <col min="10502" max="10502" width="15.140625" style="51" customWidth="1"/>
    <col min="10503" max="10503" width="13.7109375" style="51" customWidth="1"/>
    <col min="10504" max="10504" width="17" style="51" customWidth="1"/>
    <col min="10505" max="10505" width="13.140625" style="51" bestFit="1" customWidth="1"/>
    <col min="10506" max="10506" width="7.85546875" style="51"/>
    <col min="10507" max="10507" width="14.28515625" style="51" bestFit="1" customWidth="1"/>
    <col min="10508" max="10508" width="16.42578125" style="51" bestFit="1" customWidth="1"/>
    <col min="10509" max="10751" width="7.85546875" style="51"/>
    <col min="10752" max="10752" width="29.28515625" style="51" customWidth="1"/>
    <col min="10753" max="10753" width="14.42578125" style="51" customWidth="1"/>
    <col min="10754" max="10754" width="16" style="51" customWidth="1"/>
    <col min="10755" max="10756" width="13.7109375" style="51" customWidth="1"/>
    <col min="10757" max="10757" width="16.85546875" style="51" customWidth="1"/>
    <col min="10758" max="10758" width="15.140625" style="51" customWidth="1"/>
    <col min="10759" max="10759" width="13.7109375" style="51" customWidth="1"/>
    <col min="10760" max="10760" width="17" style="51" customWidth="1"/>
    <col min="10761" max="10761" width="13.140625" style="51" bestFit="1" customWidth="1"/>
    <col min="10762" max="10762" width="7.85546875" style="51"/>
    <col min="10763" max="10763" width="14.28515625" style="51" bestFit="1" customWidth="1"/>
    <col min="10764" max="10764" width="16.42578125" style="51" bestFit="1" customWidth="1"/>
    <col min="10765" max="11007" width="7.85546875" style="51"/>
    <col min="11008" max="11008" width="29.28515625" style="51" customWidth="1"/>
    <col min="11009" max="11009" width="14.42578125" style="51" customWidth="1"/>
    <col min="11010" max="11010" width="16" style="51" customWidth="1"/>
    <col min="11011" max="11012" width="13.7109375" style="51" customWidth="1"/>
    <col min="11013" max="11013" width="16.85546875" style="51" customWidth="1"/>
    <col min="11014" max="11014" width="15.140625" style="51" customWidth="1"/>
    <col min="11015" max="11015" width="13.7109375" style="51" customWidth="1"/>
    <col min="11016" max="11016" width="17" style="51" customWidth="1"/>
    <col min="11017" max="11017" width="13.140625" style="51" bestFit="1" customWidth="1"/>
    <col min="11018" max="11018" width="7.85546875" style="51"/>
    <col min="11019" max="11019" width="14.28515625" style="51" bestFit="1" customWidth="1"/>
    <col min="11020" max="11020" width="16.42578125" style="51" bestFit="1" customWidth="1"/>
    <col min="11021" max="11263" width="7.85546875" style="51"/>
    <col min="11264" max="11264" width="29.28515625" style="51" customWidth="1"/>
    <col min="11265" max="11265" width="14.42578125" style="51" customWidth="1"/>
    <col min="11266" max="11266" width="16" style="51" customWidth="1"/>
    <col min="11267" max="11268" width="13.7109375" style="51" customWidth="1"/>
    <col min="11269" max="11269" width="16.85546875" style="51" customWidth="1"/>
    <col min="11270" max="11270" width="15.140625" style="51" customWidth="1"/>
    <col min="11271" max="11271" width="13.7109375" style="51" customWidth="1"/>
    <col min="11272" max="11272" width="17" style="51" customWidth="1"/>
    <col min="11273" max="11273" width="13.140625" style="51" bestFit="1" customWidth="1"/>
    <col min="11274" max="11274" width="7.85546875" style="51"/>
    <col min="11275" max="11275" width="14.28515625" style="51" bestFit="1" customWidth="1"/>
    <col min="11276" max="11276" width="16.42578125" style="51" bestFit="1" customWidth="1"/>
    <col min="11277" max="11519" width="7.85546875" style="51"/>
    <col min="11520" max="11520" width="29.28515625" style="51" customWidth="1"/>
    <col min="11521" max="11521" width="14.42578125" style="51" customWidth="1"/>
    <col min="11522" max="11522" width="16" style="51" customWidth="1"/>
    <col min="11523" max="11524" width="13.7109375" style="51" customWidth="1"/>
    <col min="11525" max="11525" width="16.85546875" style="51" customWidth="1"/>
    <col min="11526" max="11526" width="15.140625" style="51" customWidth="1"/>
    <col min="11527" max="11527" width="13.7109375" style="51" customWidth="1"/>
    <col min="11528" max="11528" width="17" style="51" customWidth="1"/>
    <col min="11529" max="11529" width="13.140625" style="51" bestFit="1" customWidth="1"/>
    <col min="11530" max="11530" width="7.85546875" style="51"/>
    <col min="11531" max="11531" width="14.28515625" style="51" bestFit="1" customWidth="1"/>
    <col min="11532" max="11532" width="16.42578125" style="51" bestFit="1" customWidth="1"/>
    <col min="11533" max="11775" width="7.85546875" style="51"/>
    <col min="11776" max="11776" width="29.28515625" style="51" customWidth="1"/>
    <col min="11777" max="11777" width="14.42578125" style="51" customWidth="1"/>
    <col min="11778" max="11778" width="16" style="51" customWidth="1"/>
    <col min="11779" max="11780" width="13.7109375" style="51" customWidth="1"/>
    <col min="11781" max="11781" width="16.85546875" style="51" customWidth="1"/>
    <col min="11782" max="11782" width="15.140625" style="51" customWidth="1"/>
    <col min="11783" max="11783" width="13.7109375" style="51" customWidth="1"/>
    <col min="11784" max="11784" width="17" style="51" customWidth="1"/>
    <col min="11785" max="11785" width="13.140625" style="51" bestFit="1" customWidth="1"/>
    <col min="11786" max="11786" width="7.85546875" style="51"/>
    <col min="11787" max="11787" width="14.28515625" style="51" bestFit="1" customWidth="1"/>
    <col min="11788" max="11788" width="16.42578125" style="51" bestFit="1" customWidth="1"/>
    <col min="11789" max="12031" width="7.85546875" style="51"/>
    <col min="12032" max="12032" width="29.28515625" style="51" customWidth="1"/>
    <col min="12033" max="12033" width="14.42578125" style="51" customWidth="1"/>
    <col min="12034" max="12034" width="16" style="51" customWidth="1"/>
    <col min="12035" max="12036" width="13.7109375" style="51" customWidth="1"/>
    <col min="12037" max="12037" width="16.85546875" style="51" customWidth="1"/>
    <col min="12038" max="12038" width="15.140625" style="51" customWidth="1"/>
    <col min="12039" max="12039" width="13.7109375" style="51" customWidth="1"/>
    <col min="12040" max="12040" width="17" style="51" customWidth="1"/>
    <col min="12041" max="12041" width="13.140625" style="51" bestFit="1" customWidth="1"/>
    <col min="12042" max="12042" width="7.85546875" style="51"/>
    <col min="12043" max="12043" width="14.28515625" style="51" bestFit="1" customWidth="1"/>
    <col min="12044" max="12044" width="16.42578125" style="51" bestFit="1" customWidth="1"/>
    <col min="12045" max="12287" width="7.85546875" style="51"/>
    <col min="12288" max="12288" width="29.28515625" style="51" customWidth="1"/>
    <col min="12289" max="12289" width="14.42578125" style="51" customWidth="1"/>
    <col min="12290" max="12290" width="16" style="51" customWidth="1"/>
    <col min="12291" max="12292" width="13.7109375" style="51" customWidth="1"/>
    <col min="12293" max="12293" width="16.85546875" style="51" customWidth="1"/>
    <col min="12294" max="12294" width="15.140625" style="51" customWidth="1"/>
    <col min="12295" max="12295" width="13.7109375" style="51" customWidth="1"/>
    <col min="12296" max="12296" width="17" style="51" customWidth="1"/>
    <col min="12297" max="12297" width="13.140625" style="51" bestFit="1" customWidth="1"/>
    <col min="12298" max="12298" width="7.85546875" style="51"/>
    <col min="12299" max="12299" width="14.28515625" style="51" bestFit="1" customWidth="1"/>
    <col min="12300" max="12300" width="16.42578125" style="51" bestFit="1" customWidth="1"/>
    <col min="12301" max="12543" width="7.85546875" style="51"/>
    <col min="12544" max="12544" width="29.28515625" style="51" customWidth="1"/>
    <col min="12545" max="12545" width="14.42578125" style="51" customWidth="1"/>
    <col min="12546" max="12546" width="16" style="51" customWidth="1"/>
    <col min="12547" max="12548" width="13.7109375" style="51" customWidth="1"/>
    <col min="12549" max="12549" width="16.85546875" style="51" customWidth="1"/>
    <col min="12550" max="12550" width="15.140625" style="51" customWidth="1"/>
    <col min="12551" max="12551" width="13.7109375" style="51" customWidth="1"/>
    <col min="12552" max="12552" width="17" style="51" customWidth="1"/>
    <col min="12553" max="12553" width="13.140625" style="51" bestFit="1" customWidth="1"/>
    <col min="12554" max="12554" width="7.85546875" style="51"/>
    <col min="12555" max="12555" width="14.28515625" style="51" bestFit="1" customWidth="1"/>
    <col min="12556" max="12556" width="16.42578125" style="51" bestFit="1" customWidth="1"/>
    <col min="12557" max="12799" width="7.85546875" style="51"/>
    <col min="12800" max="12800" width="29.28515625" style="51" customWidth="1"/>
    <col min="12801" max="12801" width="14.42578125" style="51" customWidth="1"/>
    <col min="12802" max="12802" width="16" style="51" customWidth="1"/>
    <col min="12803" max="12804" width="13.7109375" style="51" customWidth="1"/>
    <col min="12805" max="12805" width="16.85546875" style="51" customWidth="1"/>
    <col min="12806" max="12806" width="15.140625" style="51" customWidth="1"/>
    <col min="12807" max="12807" width="13.7109375" style="51" customWidth="1"/>
    <col min="12808" max="12808" width="17" style="51" customWidth="1"/>
    <col min="12809" max="12809" width="13.140625" style="51" bestFit="1" customWidth="1"/>
    <col min="12810" max="12810" width="7.85546875" style="51"/>
    <col min="12811" max="12811" width="14.28515625" style="51" bestFit="1" customWidth="1"/>
    <col min="12812" max="12812" width="16.42578125" style="51" bestFit="1" customWidth="1"/>
    <col min="12813" max="13055" width="7.85546875" style="51"/>
    <col min="13056" max="13056" width="29.28515625" style="51" customWidth="1"/>
    <col min="13057" max="13057" width="14.42578125" style="51" customWidth="1"/>
    <col min="13058" max="13058" width="16" style="51" customWidth="1"/>
    <col min="13059" max="13060" width="13.7109375" style="51" customWidth="1"/>
    <col min="13061" max="13061" width="16.85546875" style="51" customWidth="1"/>
    <col min="13062" max="13062" width="15.140625" style="51" customWidth="1"/>
    <col min="13063" max="13063" width="13.7109375" style="51" customWidth="1"/>
    <col min="13064" max="13064" width="17" style="51" customWidth="1"/>
    <col min="13065" max="13065" width="13.140625" style="51" bestFit="1" customWidth="1"/>
    <col min="13066" max="13066" width="7.85546875" style="51"/>
    <col min="13067" max="13067" width="14.28515625" style="51" bestFit="1" customWidth="1"/>
    <col min="13068" max="13068" width="16.42578125" style="51" bestFit="1" customWidth="1"/>
    <col min="13069" max="13311" width="7.85546875" style="51"/>
    <col min="13312" max="13312" width="29.28515625" style="51" customWidth="1"/>
    <col min="13313" max="13313" width="14.42578125" style="51" customWidth="1"/>
    <col min="13314" max="13314" width="16" style="51" customWidth="1"/>
    <col min="13315" max="13316" width="13.7109375" style="51" customWidth="1"/>
    <col min="13317" max="13317" width="16.85546875" style="51" customWidth="1"/>
    <col min="13318" max="13318" width="15.140625" style="51" customWidth="1"/>
    <col min="13319" max="13319" width="13.7109375" style="51" customWidth="1"/>
    <col min="13320" max="13320" width="17" style="51" customWidth="1"/>
    <col min="13321" max="13321" width="13.140625" style="51" bestFit="1" customWidth="1"/>
    <col min="13322" max="13322" width="7.85546875" style="51"/>
    <col min="13323" max="13323" width="14.28515625" style="51" bestFit="1" customWidth="1"/>
    <col min="13324" max="13324" width="16.42578125" style="51" bestFit="1" customWidth="1"/>
    <col min="13325" max="13567" width="7.85546875" style="51"/>
    <col min="13568" max="13568" width="29.28515625" style="51" customWidth="1"/>
    <col min="13569" max="13569" width="14.42578125" style="51" customWidth="1"/>
    <col min="13570" max="13570" width="16" style="51" customWidth="1"/>
    <col min="13571" max="13572" width="13.7109375" style="51" customWidth="1"/>
    <col min="13573" max="13573" width="16.85546875" style="51" customWidth="1"/>
    <col min="13574" max="13574" width="15.140625" style="51" customWidth="1"/>
    <col min="13575" max="13575" width="13.7109375" style="51" customWidth="1"/>
    <col min="13576" max="13576" width="17" style="51" customWidth="1"/>
    <col min="13577" max="13577" width="13.140625" style="51" bestFit="1" customWidth="1"/>
    <col min="13578" max="13578" width="7.85546875" style="51"/>
    <col min="13579" max="13579" width="14.28515625" style="51" bestFit="1" customWidth="1"/>
    <col min="13580" max="13580" width="16.42578125" style="51" bestFit="1" customWidth="1"/>
    <col min="13581" max="13823" width="7.85546875" style="51"/>
    <col min="13824" max="13824" width="29.28515625" style="51" customWidth="1"/>
    <col min="13825" max="13825" width="14.42578125" style="51" customWidth="1"/>
    <col min="13826" max="13826" width="16" style="51" customWidth="1"/>
    <col min="13827" max="13828" width="13.7109375" style="51" customWidth="1"/>
    <col min="13829" max="13829" width="16.85546875" style="51" customWidth="1"/>
    <col min="13830" max="13830" width="15.140625" style="51" customWidth="1"/>
    <col min="13831" max="13831" width="13.7109375" style="51" customWidth="1"/>
    <col min="13832" max="13832" width="17" style="51" customWidth="1"/>
    <col min="13833" max="13833" width="13.140625" style="51" bestFit="1" customWidth="1"/>
    <col min="13834" max="13834" width="7.85546875" style="51"/>
    <col min="13835" max="13835" width="14.28515625" style="51" bestFit="1" customWidth="1"/>
    <col min="13836" max="13836" width="16.42578125" style="51" bestFit="1" customWidth="1"/>
    <col min="13837" max="14079" width="7.85546875" style="51"/>
    <col min="14080" max="14080" width="29.28515625" style="51" customWidth="1"/>
    <col min="14081" max="14081" width="14.42578125" style="51" customWidth="1"/>
    <col min="14082" max="14082" width="16" style="51" customWidth="1"/>
    <col min="14083" max="14084" width="13.7109375" style="51" customWidth="1"/>
    <col min="14085" max="14085" width="16.85546875" style="51" customWidth="1"/>
    <col min="14086" max="14086" width="15.140625" style="51" customWidth="1"/>
    <col min="14087" max="14087" width="13.7109375" style="51" customWidth="1"/>
    <col min="14088" max="14088" width="17" style="51" customWidth="1"/>
    <col min="14089" max="14089" width="13.140625" style="51" bestFit="1" customWidth="1"/>
    <col min="14090" max="14090" width="7.85546875" style="51"/>
    <col min="14091" max="14091" width="14.28515625" style="51" bestFit="1" customWidth="1"/>
    <col min="14092" max="14092" width="16.42578125" style="51" bestFit="1" customWidth="1"/>
    <col min="14093" max="14335" width="7.85546875" style="51"/>
    <col min="14336" max="14336" width="29.28515625" style="51" customWidth="1"/>
    <col min="14337" max="14337" width="14.42578125" style="51" customWidth="1"/>
    <col min="14338" max="14338" width="16" style="51" customWidth="1"/>
    <col min="14339" max="14340" width="13.7109375" style="51" customWidth="1"/>
    <col min="14341" max="14341" width="16.85546875" style="51" customWidth="1"/>
    <col min="14342" max="14342" width="15.140625" style="51" customWidth="1"/>
    <col min="14343" max="14343" width="13.7109375" style="51" customWidth="1"/>
    <col min="14344" max="14344" width="17" style="51" customWidth="1"/>
    <col min="14345" max="14345" width="13.140625" style="51" bestFit="1" customWidth="1"/>
    <col min="14346" max="14346" width="7.85546875" style="51"/>
    <col min="14347" max="14347" width="14.28515625" style="51" bestFit="1" customWidth="1"/>
    <col min="14348" max="14348" width="16.42578125" style="51" bestFit="1" customWidth="1"/>
    <col min="14349" max="14591" width="7.85546875" style="51"/>
    <col min="14592" max="14592" width="29.28515625" style="51" customWidth="1"/>
    <col min="14593" max="14593" width="14.42578125" style="51" customWidth="1"/>
    <col min="14594" max="14594" width="16" style="51" customWidth="1"/>
    <col min="14595" max="14596" width="13.7109375" style="51" customWidth="1"/>
    <col min="14597" max="14597" width="16.85546875" style="51" customWidth="1"/>
    <col min="14598" max="14598" width="15.140625" style="51" customWidth="1"/>
    <col min="14599" max="14599" width="13.7109375" style="51" customWidth="1"/>
    <col min="14600" max="14600" width="17" style="51" customWidth="1"/>
    <col min="14601" max="14601" width="13.140625" style="51" bestFit="1" customWidth="1"/>
    <col min="14602" max="14602" width="7.85546875" style="51"/>
    <col min="14603" max="14603" width="14.28515625" style="51" bestFit="1" customWidth="1"/>
    <col min="14604" max="14604" width="16.42578125" style="51" bestFit="1" customWidth="1"/>
    <col min="14605" max="14847" width="7.85546875" style="51"/>
    <col min="14848" max="14848" width="29.28515625" style="51" customWidth="1"/>
    <col min="14849" max="14849" width="14.42578125" style="51" customWidth="1"/>
    <col min="14850" max="14850" width="16" style="51" customWidth="1"/>
    <col min="14851" max="14852" width="13.7109375" style="51" customWidth="1"/>
    <col min="14853" max="14853" width="16.85546875" style="51" customWidth="1"/>
    <col min="14854" max="14854" width="15.140625" style="51" customWidth="1"/>
    <col min="14855" max="14855" width="13.7109375" style="51" customWidth="1"/>
    <col min="14856" max="14856" width="17" style="51" customWidth="1"/>
    <col min="14857" max="14857" width="13.140625" style="51" bestFit="1" customWidth="1"/>
    <col min="14858" max="14858" width="7.85546875" style="51"/>
    <col min="14859" max="14859" width="14.28515625" style="51" bestFit="1" customWidth="1"/>
    <col min="14860" max="14860" width="16.42578125" style="51" bestFit="1" customWidth="1"/>
    <col min="14861" max="15103" width="7.85546875" style="51"/>
    <col min="15104" max="15104" width="29.28515625" style="51" customWidth="1"/>
    <col min="15105" max="15105" width="14.42578125" style="51" customWidth="1"/>
    <col min="15106" max="15106" width="16" style="51" customWidth="1"/>
    <col min="15107" max="15108" width="13.7109375" style="51" customWidth="1"/>
    <col min="15109" max="15109" width="16.85546875" style="51" customWidth="1"/>
    <col min="15110" max="15110" width="15.140625" style="51" customWidth="1"/>
    <col min="15111" max="15111" width="13.7109375" style="51" customWidth="1"/>
    <col min="15112" max="15112" width="17" style="51" customWidth="1"/>
    <col min="15113" max="15113" width="13.140625" style="51" bestFit="1" customWidth="1"/>
    <col min="15114" max="15114" width="7.85546875" style="51"/>
    <col min="15115" max="15115" width="14.28515625" style="51" bestFit="1" customWidth="1"/>
    <col min="15116" max="15116" width="16.42578125" style="51" bestFit="1" customWidth="1"/>
    <col min="15117" max="15359" width="7.85546875" style="51"/>
    <col min="15360" max="15360" width="29.28515625" style="51" customWidth="1"/>
    <col min="15361" max="15361" width="14.42578125" style="51" customWidth="1"/>
    <col min="15362" max="15362" width="16" style="51" customWidth="1"/>
    <col min="15363" max="15364" width="13.7109375" style="51" customWidth="1"/>
    <col min="15365" max="15365" width="16.85546875" style="51" customWidth="1"/>
    <col min="15366" max="15366" width="15.140625" style="51" customWidth="1"/>
    <col min="15367" max="15367" width="13.7109375" style="51" customWidth="1"/>
    <col min="15368" max="15368" width="17" style="51" customWidth="1"/>
    <col min="15369" max="15369" width="13.140625" style="51" bestFit="1" customWidth="1"/>
    <col min="15370" max="15370" width="7.85546875" style="51"/>
    <col min="15371" max="15371" width="14.28515625" style="51" bestFit="1" customWidth="1"/>
    <col min="15372" max="15372" width="16.42578125" style="51" bestFit="1" customWidth="1"/>
    <col min="15373" max="15615" width="7.85546875" style="51"/>
    <col min="15616" max="15616" width="29.28515625" style="51" customWidth="1"/>
    <col min="15617" max="15617" width="14.42578125" style="51" customWidth="1"/>
    <col min="15618" max="15618" width="16" style="51" customWidth="1"/>
    <col min="15619" max="15620" width="13.7109375" style="51" customWidth="1"/>
    <col min="15621" max="15621" width="16.85546875" style="51" customWidth="1"/>
    <col min="15622" max="15622" width="15.140625" style="51" customWidth="1"/>
    <col min="15623" max="15623" width="13.7109375" style="51" customWidth="1"/>
    <col min="15624" max="15624" width="17" style="51" customWidth="1"/>
    <col min="15625" max="15625" width="13.140625" style="51" bestFit="1" customWidth="1"/>
    <col min="15626" max="15626" width="7.85546875" style="51"/>
    <col min="15627" max="15627" width="14.28515625" style="51" bestFit="1" customWidth="1"/>
    <col min="15628" max="15628" width="16.42578125" style="51" bestFit="1" customWidth="1"/>
    <col min="15629" max="15871" width="7.85546875" style="51"/>
    <col min="15872" max="15872" width="29.28515625" style="51" customWidth="1"/>
    <col min="15873" max="15873" width="14.42578125" style="51" customWidth="1"/>
    <col min="15874" max="15874" width="16" style="51" customWidth="1"/>
    <col min="15875" max="15876" width="13.7109375" style="51" customWidth="1"/>
    <col min="15877" max="15877" width="16.85546875" style="51" customWidth="1"/>
    <col min="15878" max="15878" width="15.140625" style="51" customWidth="1"/>
    <col min="15879" max="15879" width="13.7109375" style="51" customWidth="1"/>
    <col min="15880" max="15880" width="17" style="51" customWidth="1"/>
    <col min="15881" max="15881" width="13.140625" style="51" bestFit="1" customWidth="1"/>
    <col min="15882" max="15882" width="7.85546875" style="51"/>
    <col min="15883" max="15883" width="14.28515625" style="51" bestFit="1" customWidth="1"/>
    <col min="15884" max="15884" width="16.42578125" style="51" bestFit="1" customWidth="1"/>
    <col min="15885" max="16127" width="7.85546875" style="51"/>
    <col min="16128" max="16128" width="29.28515625" style="51" customWidth="1"/>
    <col min="16129" max="16129" width="14.42578125" style="51" customWidth="1"/>
    <col min="16130" max="16130" width="16" style="51" customWidth="1"/>
    <col min="16131" max="16132" width="13.7109375" style="51" customWidth="1"/>
    <col min="16133" max="16133" width="16.85546875" style="51" customWidth="1"/>
    <col min="16134" max="16134" width="15.140625" style="51" customWidth="1"/>
    <col min="16135" max="16135" width="13.7109375" style="51" customWidth="1"/>
    <col min="16136" max="16136" width="17" style="51" customWidth="1"/>
    <col min="16137" max="16137" width="13.140625" style="51" bestFit="1" customWidth="1"/>
    <col min="16138" max="16138" width="7.85546875" style="51"/>
    <col min="16139" max="16139" width="14.28515625" style="51" bestFit="1" customWidth="1"/>
    <col min="16140" max="16140" width="16.42578125" style="51" bestFit="1" customWidth="1"/>
    <col min="16141" max="16384" width="7.85546875" style="51"/>
  </cols>
  <sheetData>
    <row r="1" spans="1:12" ht="27.75" customHeight="1" x14ac:dyDescent="0.2"/>
    <row r="2" spans="1:12" ht="25.5" customHeight="1" x14ac:dyDescent="0.2"/>
    <row r="3" spans="1:12" ht="15.75" customHeight="1" x14ac:dyDescent="0.25">
      <c r="A3" s="246" t="s">
        <v>124</v>
      </c>
      <c r="B3" s="246"/>
      <c r="C3" s="246"/>
      <c r="D3" s="246"/>
      <c r="E3" s="246"/>
      <c r="F3" s="246"/>
      <c r="G3" s="246"/>
      <c r="H3" s="246"/>
      <c r="I3" s="246"/>
    </row>
    <row r="4" spans="1:12" s="52" customFormat="1" ht="21.75" customHeight="1" x14ac:dyDescent="0.35">
      <c r="A4" s="100" t="s">
        <v>0</v>
      </c>
      <c r="B4" s="99"/>
      <c r="C4" s="98"/>
      <c r="D4" s="98"/>
      <c r="E4" s="98"/>
      <c r="F4" s="98"/>
      <c r="G4" s="98"/>
      <c r="H4" s="98"/>
      <c r="I4" s="98"/>
    </row>
    <row r="5" spans="1:12" s="52" customFormat="1" ht="15.75" x14ac:dyDescent="0.25">
      <c r="A5" s="97" t="s">
        <v>116</v>
      </c>
    </row>
    <row r="6" spans="1:12" s="95" customFormat="1" ht="25.5" customHeight="1" x14ac:dyDescent="0.2">
      <c r="A6" s="96" t="s">
        <v>3</v>
      </c>
      <c r="B6" s="96" t="s">
        <v>115</v>
      </c>
      <c r="C6" s="96" t="s">
        <v>114</v>
      </c>
      <c r="D6" s="96" t="s">
        <v>113</v>
      </c>
      <c r="E6" s="96" t="s">
        <v>112</v>
      </c>
      <c r="F6" s="96" t="s">
        <v>111</v>
      </c>
      <c r="G6" s="96" t="s">
        <v>110</v>
      </c>
      <c r="H6" s="96" t="s">
        <v>109</v>
      </c>
      <c r="I6" s="96" t="s">
        <v>108</v>
      </c>
    </row>
    <row r="7" spans="1:12" customFormat="1" ht="12.95" customHeight="1" x14ac:dyDescent="0.25">
      <c r="A7" s="112" t="s">
        <v>65</v>
      </c>
      <c r="B7" s="133">
        <v>1</v>
      </c>
      <c r="C7" s="94">
        <v>10.81</v>
      </c>
      <c r="D7" s="92">
        <v>8</v>
      </c>
      <c r="E7" s="91">
        <v>0</v>
      </c>
      <c r="F7" s="117">
        <v>0</v>
      </c>
      <c r="G7" s="148">
        <v>0</v>
      </c>
      <c r="H7" s="91">
        <f>(C7*(8*10))*B7</f>
        <v>864.80000000000007</v>
      </c>
      <c r="I7" s="90">
        <f>E7+F7+G7+H7</f>
        <v>864.80000000000007</v>
      </c>
    </row>
    <row r="8" spans="1:12" customFormat="1" ht="12.95" customHeight="1" x14ac:dyDescent="0.25">
      <c r="A8" s="112" t="s">
        <v>66</v>
      </c>
      <c r="B8" s="133">
        <v>8</v>
      </c>
      <c r="C8" s="93">
        <v>6.04</v>
      </c>
      <c r="D8" s="92">
        <v>8</v>
      </c>
      <c r="E8" s="91">
        <v>0</v>
      </c>
      <c r="F8" s="117">
        <v>0</v>
      </c>
      <c r="G8" s="148">
        <v>0</v>
      </c>
      <c r="H8" s="91">
        <f>(C8*(8*10)*B8)</f>
        <v>3865.6</v>
      </c>
      <c r="I8" s="90">
        <f>E8+F8+G8+H8</f>
        <v>3865.6</v>
      </c>
    </row>
    <row r="9" spans="1:12" customFormat="1" ht="14.1" customHeight="1" x14ac:dyDescent="0.25">
      <c r="A9" s="89" t="s">
        <v>107</v>
      </c>
      <c r="B9" s="88"/>
      <c r="C9" s="87"/>
      <c r="D9" s="86"/>
      <c r="E9" s="86"/>
      <c r="F9" s="86"/>
      <c r="G9" s="86"/>
      <c r="H9" s="86"/>
      <c r="I9" s="85"/>
    </row>
    <row r="10" spans="1:12" s="52" customFormat="1" ht="12.75" x14ac:dyDescent="0.2">
      <c r="A10" s="95"/>
      <c r="D10" s="134"/>
      <c r="E10" s="134"/>
      <c r="F10" s="134"/>
      <c r="G10" s="134"/>
      <c r="H10" s="134"/>
      <c r="I10" s="134"/>
    </row>
    <row r="11" spans="1:12" s="52" customFormat="1" ht="14.25" customHeight="1" x14ac:dyDescent="0.2">
      <c r="C11" s="247" t="s">
        <v>106</v>
      </c>
      <c r="D11" s="248"/>
      <c r="E11" s="248"/>
      <c r="F11" s="248"/>
      <c r="G11" s="248"/>
      <c r="H11" s="249">
        <f>SUM(I7:I8)</f>
        <v>4730.3999999999996</v>
      </c>
      <c r="I11" s="250"/>
    </row>
    <row r="12" spans="1:12" s="52" customFormat="1" ht="17.25" customHeight="1" x14ac:dyDescent="0.25">
      <c r="A12" s="97" t="s">
        <v>105</v>
      </c>
    </row>
    <row r="13" spans="1:12" s="52" customFormat="1" ht="13.5" customHeight="1" x14ac:dyDescent="0.2">
      <c r="A13" s="84" t="s">
        <v>104</v>
      </c>
      <c r="B13" s="83" t="s">
        <v>103</v>
      </c>
      <c r="C13" s="82" t="s">
        <v>102</v>
      </c>
      <c r="D13" s="101"/>
      <c r="E13" s="101"/>
      <c r="F13" s="101"/>
      <c r="G13" s="101"/>
      <c r="H13" s="101"/>
    </row>
    <row r="14" spans="1:12" s="52" customFormat="1" ht="15.75" hidden="1" customHeight="1" x14ac:dyDescent="0.2">
      <c r="A14" s="81" t="s">
        <v>101</v>
      </c>
      <c r="B14" s="80"/>
      <c r="C14" s="79"/>
      <c r="D14" s="136"/>
      <c r="E14" s="136"/>
      <c r="F14" s="136"/>
      <c r="G14" s="136"/>
      <c r="H14" s="251"/>
      <c r="I14" s="251"/>
    </row>
    <row r="15" spans="1:12" s="52" customFormat="1" ht="15.75" hidden="1" x14ac:dyDescent="0.25">
      <c r="A15" s="71" t="s">
        <v>100</v>
      </c>
      <c r="B15" s="137">
        <v>0.2</v>
      </c>
      <c r="C15" s="69">
        <f>H11*B15</f>
        <v>946.07999999999993</v>
      </c>
      <c r="D15" s="136"/>
      <c r="E15" s="136"/>
      <c r="F15" s="136"/>
      <c r="G15" s="136"/>
      <c r="H15" s="136"/>
      <c r="L15" s="78">
        <v>762000</v>
      </c>
    </row>
    <row r="16" spans="1:12" s="52" customFormat="1" ht="12.75" hidden="1" x14ac:dyDescent="0.2">
      <c r="A16" s="71" t="s">
        <v>99</v>
      </c>
      <c r="B16" s="137">
        <v>8.5000000000000006E-2</v>
      </c>
      <c r="C16" s="69">
        <f>H11*B16</f>
        <v>402.084</v>
      </c>
      <c r="D16" s="138"/>
      <c r="E16" s="138"/>
      <c r="F16" s="138"/>
      <c r="G16" s="138"/>
      <c r="H16" s="136"/>
    </row>
    <row r="17" spans="1:8" s="52" customFormat="1" ht="7.5" hidden="1" customHeight="1" x14ac:dyDescent="0.2">
      <c r="A17" s="71"/>
      <c r="B17" s="137"/>
      <c r="C17" s="77"/>
      <c r="D17" s="136"/>
      <c r="E17" s="136"/>
      <c r="F17" s="136"/>
      <c r="G17" s="136"/>
      <c r="H17" s="136"/>
    </row>
    <row r="18" spans="1:8" s="52" customFormat="1" ht="15.75" hidden="1" customHeight="1" x14ac:dyDescent="0.2">
      <c r="A18" s="74" t="s">
        <v>98</v>
      </c>
      <c r="B18" s="139"/>
      <c r="C18" s="76"/>
      <c r="D18" s="136"/>
      <c r="E18" s="136"/>
      <c r="F18" s="136"/>
      <c r="G18" s="136"/>
      <c r="H18" s="136"/>
    </row>
    <row r="19" spans="1:8" s="52" customFormat="1" ht="12.95" hidden="1" customHeight="1" x14ac:dyDescent="0.2">
      <c r="A19" s="71" t="s">
        <v>97</v>
      </c>
      <c r="B19" s="137">
        <v>0.1091</v>
      </c>
      <c r="C19" s="69">
        <f>H11*B19</f>
        <v>516.08663999999999</v>
      </c>
      <c r="D19" s="136"/>
      <c r="E19" s="136"/>
      <c r="F19" s="136"/>
      <c r="G19" s="136"/>
      <c r="H19" s="136"/>
    </row>
    <row r="20" spans="1:8" s="52" customFormat="1" ht="12.75" hidden="1" x14ac:dyDescent="0.2">
      <c r="A20" s="71" t="s">
        <v>96</v>
      </c>
      <c r="B20" s="137">
        <v>9.4500000000000001E-2</v>
      </c>
      <c r="C20" s="69">
        <f>H11*B20</f>
        <v>447.02279999999996</v>
      </c>
      <c r="D20" s="136"/>
      <c r="E20" s="136"/>
      <c r="F20" s="136"/>
      <c r="G20" s="136"/>
      <c r="H20" s="136"/>
    </row>
    <row r="21" spans="1:8" s="52" customFormat="1" ht="12.75" hidden="1" x14ac:dyDescent="0.2">
      <c r="A21" s="71" t="s">
        <v>95</v>
      </c>
      <c r="B21" s="75">
        <v>5.4999999999999997E-3</v>
      </c>
      <c r="C21" s="69">
        <f>H11*B21</f>
        <v>26.017199999999995</v>
      </c>
      <c r="D21" s="136"/>
      <c r="E21" s="136"/>
      <c r="F21" s="136"/>
      <c r="G21" s="136"/>
      <c r="H21" s="136"/>
    </row>
    <row r="22" spans="1:8" s="52" customFormat="1" ht="12.75" hidden="1" x14ac:dyDescent="0.2">
      <c r="A22" s="71" t="s">
        <v>94</v>
      </c>
      <c r="B22" s="137">
        <v>0</v>
      </c>
      <c r="C22" s="69">
        <f>H11*B22</f>
        <v>0</v>
      </c>
      <c r="D22" s="136"/>
      <c r="E22" s="136"/>
      <c r="F22" s="136"/>
      <c r="G22" s="136"/>
      <c r="H22" s="136"/>
    </row>
    <row r="23" spans="1:8" s="52" customFormat="1" ht="4.5" hidden="1" customHeight="1" x14ac:dyDescent="0.2">
      <c r="A23" s="71"/>
      <c r="B23" s="137"/>
      <c r="C23" s="69"/>
      <c r="D23" s="136"/>
      <c r="E23" s="136"/>
      <c r="F23" s="136"/>
      <c r="G23" s="136"/>
      <c r="H23" s="136"/>
    </row>
    <row r="24" spans="1:8" s="52" customFormat="1" ht="15.75" hidden="1" customHeight="1" x14ac:dyDescent="0.2">
      <c r="A24" s="74" t="s">
        <v>93</v>
      </c>
      <c r="B24" s="139"/>
      <c r="C24" s="72"/>
      <c r="D24" s="136"/>
      <c r="E24" s="136"/>
      <c r="F24" s="136"/>
      <c r="G24" s="136"/>
      <c r="H24" s="136"/>
    </row>
    <row r="25" spans="1:8" s="52" customFormat="1" ht="6" hidden="1" customHeight="1" x14ac:dyDescent="0.2">
      <c r="A25" s="74"/>
      <c r="B25" s="139"/>
      <c r="C25" s="72"/>
      <c r="D25" s="136"/>
      <c r="E25" s="136"/>
      <c r="F25" s="136"/>
      <c r="G25" s="136"/>
      <c r="H25" s="136"/>
    </row>
    <row r="26" spans="1:8" s="52" customFormat="1" ht="12.95" hidden="1" customHeight="1" x14ac:dyDescent="0.2">
      <c r="A26" s="71" t="s">
        <v>92</v>
      </c>
      <c r="B26" s="137">
        <v>7.9299999999999995E-2</v>
      </c>
      <c r="C26" s="69">
        <f>H11*B26</f>
        <v>375.12071999999995</v>
      </c>
      <c r="D26" s="136"/>
      <c r="E26" s="136"/>
      <c r="F26" s="136"/>
      <c r="G26" s="136"/>
      <c r="H26" s="136"/>
    </row>
    <row r="27" spans="1:8" s="52" customFormat="1" ht="6" hidden="1" customHeight="1" x14ac:dyDescent="0.2">
      <c r="A27" s="71"/>
      <c r="B27" s="137"/>
      <c r="C27" s="69"/>
      <c r="D27" s="136"/>
      <c r="E27" s="136"/>
      <c r="F27" s="136"/>
      <c r="G27" s="136"/>
      <c r="H27" s="136"/>
    </row>
    <row r="28" spans="1:8" s="52" customFormat="1" ht="15.75" hidden="1" customHeight="1" x14ac:dyDescent="0.2">
      <c r="A28" s="74" t="s">
        <v>91</v>
      </c>
      <c r="B28" s="139"/>
      <c r="C28" s="72"/>
      <c r="D28" s="136"/>
      <c r="E28" s="136"/>
      <c r="F28" s="136"/>
      <c r="G28" s="136"/>
      <c r="H28" s="136"/>
    </row>
    <row r="29" spans="1:8" s="52" customFormat="1" ht="8.25" hidden="1" customHeight="1" x14ac:dyDescent="0.2">
      <c r="A29" s="74"/>
      <c r="B29" s="73"/>
      <c r="C29" s="72"/>
      <c r="D29" s="136"/>
      <c r="E29" s="136"/>
      <c r="F29" s="136"/>
      <c r="G29" s="136"/>
      <c r="H29" s="136"/>
    </row>
    <row r="30" spans="1:8" s="52" customFormat="1" ht="12.95" hidden="1" customHeight="1" x14ac:dyDescent="0.2">
      <c r="A30" s="71" t="s">
        <v>90</v>
      </c>
      <c r="B30" s="70" t="s">
        <v>89</v>
      </c>
      <c r="C30" s="69">
        <f>50/100*C16</f>
        <v>201.042</v>
      </c>
      <c r="D30" s="136"/>
      <c r="E30" s="136"/>
      <c r="F30" s="136"/>
      <c r="G30" s="136"/>
      <c r="H30" s="136"/>
    </row>
    <row r="31" spans="1:8" s="52" customFormat="1" ht="12.75" hidden="1" x14ac:dyDescent="0.2">
      <c r="A31" s="68"/>
      <c r="B31" s="67"/>
      <c r="C31" s="66"/>
      <c r="D31" s="136"/>
      <c r="E31" s="136"/>
      <c r="F31" s="136"/>
      <c r="G31" s="136"/>
      <c r="H31" s="136"/>
    </row>
    <row r="32" spans="1:8" s="52" customFormat="1" ht="14.25" customHeight="1" x14ac:dyDescent="0.2">
      <c r="A32" s="247" t="s">
        <v>88</v>
      </c>
      <c r="B32" s="252"/>
      <c r="C32" s="65">
        <f>SUM(C15:C31)</f>
        <v>2913.4533599999995</v>
      </c>
      <c r="D32" s="64"/>
      <c r="E32" s="63"/>
      <c r="F32" s="63"/>
      <c r="G32" s="63"/>
      <c r="H32" s="62"/>
    </row>
    <row r="33" spans="1:11" s="52" customFormat="1" ht="7.5" customHeight="1" x14ac:dyDescent="0.2">
      <c r="B33" s="101"/>
    </row>
    <row r="34" spans="1:11" s="52" customFormat="1" ht="14.25" customHeight="1" x14ac:dyDescent="0.2">
      <c r="A34" s="61"/>
      <c r="C34" s="253" t="s">
        <v>87</v>
      </c>
      <c r="D34" s="253"/>
      <c r="E34" s="253"/>
      <c r="F34" s="253"/>
      <c r="G34" s="253"/>
      <c r="H34" s="249">
        <f>C32+H11</f>
        <v>7643.8533599999992</v>
      </c>
      <c r="I34" s="250"/>
    </row>
    <row r="35" spans="1:11" s="52" customFormat="1" ht="15.75" x14ac:dyDescent="0.25">
      <c r="A35" s="140"/>
      <c r="F35" s="244"/>
      <c r="G35" s="244"/>
      <c r="H35" s="245"/>
      <c r="I35" s="245"/>
      <c r="J35" s="60"/>
      <c r="K35" s="60"/>
    </row>
    <row r="36" spans="1:11" s="52" customFormat="1" ht="23.25" customHeight="1" x14ac:dyDescent="0.2">
      <c r="A36" s="141"/>
      <c r="B36" s="57" t="s">
        <v>85</v>
      </c>
      <c r="C36" s="57" t="s">
        <v>84</v>
      </c>
      <c r="D36" s="55" t="s">
        <v>86</v>
      </c>
      <c r="E36" s="55" t="s">
        <v>83</v>
      </c>
      <c r="F36" s="55" t="s">
        <v>82</v>
      </c>
      <c r="G36" s="55" t="s">
        <v>81</v>
      </c>
      <c r="K36" s="142"/>
    </row>
    <row r="37" spans="1:11" s="52" customFormat="1" ht="16.5" customHeight="1" x14ac:dyDescent="0.2">
      <c r="A37" s="112" t="s">
        <v>65</v>
      </c>
      <c r="B37" s="133">
        <v>1</v>
      </c>
      <c r="C37" s="56">
        <v>10</v>
      </c>
      <c r="D37" s="55">
        <v>5.4</v>
      </c>
      <c r="E37" s="55">
        <v>12.96</v>
      </c>
      <c r="F37" s="54">
        <v>0</v>
      </c>
      <c r="G37" s="53">
        <f t="shared" ref="G37:G38" si="0">(B37*C37*(D37+E37+F37))</f>
        <v>183.6</v>
      </c>
    </row>
    <row r="38" spans="1:11" s="52" customFormat="1" ht="12.75" x14ac:dyDescent="0.2">
      <c r="A38" s="112" t="s">
        <v>66</v>
      </c>
      <c r="B38" s="133">
        <v>8</v>
      </c>
      <c r="C38" s="56">
        <v>10</v>
      </c>
      <c r="D38" s="55">
        <v>5.4</v>
      </c>
      <c r="E38" s="55">
        <v>12.96</v>
      </c>
      <c r="F38" s="54">
        <v>0</v>
      </c>
      <c r="G38" s="53">
        <f t="shared" si="0"/>
        <v>1468.8</v>
      </c>
    </row>
    <row r="39" spans="1:11" s="52" customFormat="1" x14ac:dyDescent="0.2">
      <c r="A39" s="145"/>
      <c r="B39" s="59"/>
      <c r="C39" s="58"/>
      <c r="G39" s="146">
        <f>SUM(G37:G38)</f>
        <v>1652.3999999999999</v>
      </c>
    </row>
    <row r="40" spans="1:11" s="52" customFormat="1" ht="12.75" x14ac:dyDescent="0.2"/>
    <row r="41" spans="1:11" s="52" customFormat="1" ht="12.75" x14ac:dyDescent="0.2"/>
    <row r="42" spans="1:11" s="52" customFormat="1" ht="12.75" x14ac:dyDescent="0.2">
      <c r="I42" s="149">
        <f>G39+H34</f>
        <v>9296.2533599999988</v>
      </c>
      <c r="K42" s="150">
        <f>I42*1.2</f>
        <v>11155.504031999999</v>
      </c>
    </row>
    <row r="43" spans="1:11" s="52" customFormat="1" ht="12.75" x14ac:dyDescent="0.2"/>
    <row r="44" spans="1:11" s="52" customFormat="1" ht="12.75" x14ac:dyDescent="0.2"/>
    <row r="45" spans="1:11" s="52" customFormat="1" ht="12.75" x14ac:dyDescent="0.2"/>
    <row r="46" spans="1:11" s="52" customFormat="1" ht="12.75" x14ac:dyDescent="0.2">
      <c r="I46" s="150">
        <f>H34+G39</f>
        <v>9296.2533599999988</v>
      </c>
    </row>
    <row r="47" spans="1:11" s="52" customFormat="1" ht="12.75" x14ac:dyDescent="0.2"/>
  </sheetData>
  <mergeCells count="9">
    <mergeCell ref="F35:G35"/>
    <mergeCell ref="H35:I35"/>
    <mergeCell ref="A3:I3"/>
    <mergeCell ref="C11:G11"/>
    <mergeCell ref="H11:I11"/>
    <mergeCell ref="H14:I14"/>
    <mergeCell ref="A32:B32"/>
    <mergeCell ref="C34:G34"/>
    <mergeCell ref="H34:I3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F3C3-3033-4348-8B17-96D7F6D798D9}">
  <dimension ref="A1:L146"/>
  <sheetViews>
    <sheetView showGridLines="0" tabSelected="1" view="pageBreakPreview" topLeftCell="A114" zoomScale="90" zoomScaleNormal="100" zoomScaleSheetLayoutView="90" workbookViewId="0">
      <selection activeCell="E124" sqref="E124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8.28515625" customWidth="1"/>
    <col min="8" max="8" width="12.140625" bestFit="1" customWidth="1"/>
    <col min="9" max="9" width="17.7109375" bestFit="1" customWidth="1"/>
    <col min="10" max="10" width="16.7109375" bestFit="1" customWidth="1"/>
    <col min="11" max="11" width="11.5703125" bestFit="1" customWidth="1"/>
    <col min="12" max="12" width="16.7109375" bestFit="1" customWidth="1"/>
  </cols>
  <sheetData>
    <row r="1" spans="1:5" ht="7.5" customHeight="1" thickBot="1" x14ac:dyDescent="0.3">
      <c r="A1">
        <v>4</v>
      </c>
    </row>
    <row r="2" spans="1:5" ht="24.75" customHeight="1" thickBot="1" x14ac:dyDescent="0.3">
      <c r="A2" s="241" t="s">
        <v>63</v>
      </c>
      <c r="B2" s="242"/>
      <c r="C2" s="242"/>
      <c r="D2" s="242"/>
      <c r="E2" s="243"/>
    </row>
    <row r="4" spans="1:5" x14ac:dyDescent="0.25">
      <c r="A4" s="20" t="s">
        <v>0</v>
      </c>
      <c r="B4" s="18" t="s">
        <v>1</v>
      </c>
      <c r="C4" s="18"/>
      <c r="D4" s="18"/>
      <c r="E4" s="18"/>
    </row>
    <row r="5" spans="1:5" x14ac:dyDescent="0.25">
      <c r="A5" s="1"/>
      <c r="B5" s="1"/>
      <c r="C5" s="1"/>
      <c r="D5" s="1"/>
      <c r="E5" s="1"/>
    </row>
    <row r="6" spans="1:5" x14ac:dyDescent="0.25">
      <c r="A6" s="12" t="s">
        <v>2</v>
      </c>
      <c r="B6" s="1"/>
      <c r="C6" s="1"/>
      <c r="D6" s="1"/>
      <c r="E6" s="1"/>
    </row>
    <row r="7" spans="1:5" ht="38.25" x14ac:dyDescent="0.25">
      <c r="A7" s="16" t="s">
        <v>3</v>
      </c>
      <c r="B7" s="16" t="s">
        <v>4</v>
      </c>
      <c r="C7" s="16" t="s">
        <v>5</v>
      </c>
      <c r="D7" s="16" t="s">
        <v>6</v>
      </c>
      <c r="E7" s="16" t="s">
        <v>7</v>
      </c>
    </row>
    <row r="8" spans="1:5" x14ac:dyDescent="0.25">
      <c r="A8" s="102" t="s">
        <v>118</v>
      </c>
      <c r="B8" s="103">
        <v>22</v>
      </c>
      <c r="C8" s="228">
        <f>E8/B8/D8</f>
        <v>1300.7127272727269</v>
      </c>
      <c r="D8" s="105">
        <v>0.5</v>
      </c>
      <c r="E8" s="153">
        <v>14307.839999999997</v>
      </c>
    </row>
    <row r="9" spans="1:5" x14ac:dyDescent="0.25">
      <c r="A9" s="102" t="s">
        <v>134</v>
      </c>
      <c r="B9" s="103">
        <v>22</v>
      </c>
      <c r="C9" s="228">
        <f t="shared" ref="C9:C19" si="0">E9/B9/D9</f>
        <v>802.90909090909076</v>
      </c>
      <c r="D9" s="105">
        <v>0.5</v>
      </c>
      <c r="E9" s="153">
        <v>8831.9999999999982</v>
      </c>
    </row>
    <row r="10" spans="1:5" x14ac:dyDescent="0.25">
      <c r="A10" s="102" t="s">
        <v>119</v>
      </c>
      <c r="B10" s="103">
        <v>22</v>
      </c>
      <c r="C10" s="228">
        <f t="shared" si="0"/>
        <v>686.11258181818187</v>
      </c>
      <c r="D10" s="105">
        <v>0.5</v>
      </c>
      <c r="E10" s="153">
        <v>7547.2384000000002</v>
      </c>
    </row>
    <row r="11" spans="1:5" x14ac:dyDescent="0.25">
      <c r="A11" s="102" t="s">
        <v>159</v>
      </c>
      <c r="B11" s="103">
        <v>22</v>
      </c>
      <c r="C11" s="228">
        <f t="shared" si="0"/>
        <v>244.09090909090909</v>
      </c>
      <c r="D11" s="105">
        <v>1</v>
      </c>
      <c r="E11" s="153">
        <v>5370</v>
      </c>
    </row>
    <row r="12" spans="1:5" x14ac:dyDescent="0.25">
      <c r="A12" s="102" t="s">
        <v>128</v>
      </c>
      <c r="B12" s="103">
        <v>22</v>
      </c>
      <c r="C12" s="228">
        <f t="shared" si="0"/>
        <v>351.49090909090904</v>
      </c>
      <c r="D12" s="105">
        <v>1</v>
      </c>
      <c r="E12" s="153">
        <v>7732.7999999999993</v>
      </c>
    </row>
    <row r="13" spans="1:5" x14ac:dyDescent="0.25">
      <c r="A13" s="102" t="s">
        <v>120</v>
      </c>
      <c r="B13" s="103">
        <v>22</v>
      </c>
      <c r="C13" s="228">
        <f t="shared" si="0"/>
        <v>391.11374545454532</v>
      </c>
      <c r="D13" s="105">
        <v>2</v>
      </c>
      <c r="E13" s="153">
        <v>17209.004799999995</v>
      </c>
    </row>
    <row r="14" spans="1:5" x14ac:dyDescent="0.25">
      <c r="A14" s="102" t="s">
        <v>132</v>
      </c>
      <c r="B14" s="103">
        <v>22</v>
      </c>
      <c r="C14" s="228">
        <f t="shared" si="0"/>
        <v>288.59090909090907</v>
      </c>
      <c r="D14" s="105">
        <v>1</v>
      </c>
      <c r="E14" s="153">
        <v>6349</v>
      </c>
    </row>
    <row r="15" spans="1:5" x14ac:dyDescent="0.25">
      <c r="A15" s="102" t="s">
        <v>65</v>
      </c>
      <c r="B15" s="103">
        <v>22</v>
      </c>
      <c r="C15" s="228">
        <f t="shared" si="0"/>
        <v>207.94509090909091</v>
      </c>
      <c r="D15" s="105">
        <v>12</v>
      </c>
      <c r="E15" s="153">
        <v>54897.504000000001</v>
      </c>
    </row>
    <row r="16" spans="1:5" x14ac:dyDescent="0.25">
      <c r="A16" s="102" t="s">
        <v>121</v>
      </c>
      <c r="B16" s="103">
        <v>22</v>
      </c>
      <c r="C16" s="228">
        <f t="shared" si="0"/>
        <v>181.97600000000003</v>
      </c>
      <c r="D16" s="105">
        <v>2</v>
      </c>
      <c r="E16" s="153">
        <v>8006.9440000000013</v>
      </c>
    </row>
    <row r="17" spans="1:5" x14ac:dyDescent="0.25">
      <c r="A17" s="102" t="s">
        <v>66</v>
      </c>
      <c r="B17" s="103">
        <v>22</v>
      </c>
      <c r="C17" s="228">
        <f t="shared" si="0"/>
        <v>116.18763636363636</v>
      </c>
      <c r="D17" s="105">
        <v>14</v>
      </c>
      <c r="E17" s="153">
        <v>35785.792000000001</v>
      </c>
    </row>
    <row r="18" spans="1:5" x14ac:dyDescent="0.25">
      <c r="A18" s="102" t="s">
        <v>122</v>
      </c>
      <c r="B18" s="103">
        <v>22</v>
      </c>
      <c r="C18" s="228">
        <f t="shared" si="0"/>
        <v>187.15058181818179</v>
      </c>
      <c r="D18" s="105">
        <v>1</v>
      </c>
      <c r="E18" s="153">
        <v>4117.3127999999997</v>
      </c>
    </row>
    <row r="19" spans="1:5" x14ac:dyDescent="0.25">
      <c r="A19" s="102" t="s">
        <v>123</v>
      </c>
      <c r="B19" s="103">
        <v>22</v>
      </c>
      <c r="C19" s="228">
        <f t="shared" si="0"/>
        <v>181.97600000000003</v>
      </c>
      <c r="D19" s="105">
        <v>2</v>
      </c>
      <c r="E19" s="153">
        <v>8006.9440000000013</v>
      </c>
    </row>
    <row r="20" spans="1:5" x14ac:dyDescent="0.25">
      <c r="A20" s="102"/>
      <c r="B20" s="103"/>
      <c r="C20" s="152"/>
      <c r="D20" s="105"/>
      <c r="E20" s="153">
        <f t="shared" ref="E20:E22" si="1">C20*B20*D20</f>
        <v>0</v>
      </c>
    </row>
    <row r="21" spans="1:5" x14ac:dyDescent="0.25">
      <c r="A21" s="102"/>
      <c r="B21" s="103"/>
      <c r="C21" s="152"/>
      <c r="D21" s="105"/>
      <c r="E21" s="153">
        <f t="shared" si="1"/>
        <v>0</v>
      </c>
    </row>
    <row r="22" spans="1:5" x14ac:dyDescent="0.25">
      <c r="A22" s="102"/>
      <c r="B22" s="103"/>
      <c r="C22" s="152"/>
      <c r="D22" s="104"/>
      <c r="E22" s="154">
        <f t="shared" si="1"/>
        <v>0</v>
      </c>
    </row>
    <row r="23" spans="1:5" x14ac:dyDescent="0.25">
      <c r="A23" s="6" t="s">
        <v>8</v>
      </c>
      <c r="B23" s="155"/>
      <c r="C23" s="156"/>
      <c r="D23" s="7"/>
      <c r="E23" s="25">
        <f>SUM(E8:E22)</f>
        <v>178162.37999999998</v>
      </c>
    </row>
    <row r="24" spans="1:5" x14ac:dyDescent="0.25">
      <c r="A24" s="157" t="s">
        <v>9</v>
      </c>
      <c r="B24" s="158"/>
      <c r="C24" s="158"/>
      <c r="D24" s="24"/>
      <c r="E24" s="159">
        <f>E23*30%</f>
        <v>53448.713999999993</v>
      </c>
    </row>
    <row r="25" spans="1:5" x14ac:dyDescent="0.25">
      <c r="A25" s="12"/>
      <c r="B25" s="1"/>
      <c r="C25" s="26"/>
      <c r="D25" s="160"/>
      <c r="E25" s="160"/>
    </row>
    <row r="26" spans="1:5" x14ac:dyDescent="0.25">
      <c r="A26" s="1"/>
      <c r="B26" s="1"/>
      <c r="C26" s="31"/>
      <c r="D26" s="31" t="s">
        <v>10</v>
      </c>
      <c r="E26" s="161">
        <f>E23+E24</f>
        <v>231611.09399999998</v>
      </c>
    </row>
    <row r="27" spans="1:5" x14ac:dyDescent="0.25">
      <c r="A27" s="1"/>
      <c r="B27" s="1"/>
      <c r="C27" s="1"/>
      <c r="D27" s="1"/>
      <c r="E27" s="1"/>
    </row>
    <row r="28" spans="1:5" x14ac:dyDescent="0.25">
      <c r="A28" s="12" t="s">
        <v>11</v>
      </c>
      <c r="B28" s="1"/>
      <c r="C28" s="1"/>
      <c r="D28" s="1"/>
    </row>
    <row r="29" spans="1:5" x14ac:dyDescent="0.25">
      <c r="A29" s="14" t="s">
        <v>12</v>
      </c>
      <c r="B29" s="14" t="s">
        <v>13</v>
      </c>
      <c r="C29" s="14" t="s">
        <v>14</v>
      </c>
      <c r="D29" s="162"/>
    </row>
    <row r="30" spans="1:5" x14ac:dyDescent="0.25">
      <c r="A30" s="26"/>
      <c r="B30" s="26"/>
      <c r="C30" s="26"/>
      <c r="D30" s="1"/>
    </row>
    <row r="31" spans="1:5" x14ac:dyDescent="0.25">
      <c r="A31" s="27" t="s">
        <v>15</v>
      </c>
      <c r="B31" s="28">
        <v>0.85</v>
      </c>
      <c r="C31" s="30">
        <f>E26*B31</f>
        <v>196869.42989999999</v>
      </c>
      <c r="D31" s="163"/>
      <c r="E31" s="1"/>
    </row>
    <row r="32" spans="1:5" x14ac:dyDescent="0.25">
      <c r="A32" s="1"/>
      <c r="B32" s="162"/>
      <c r="C32" s="1"/>
      <c r="D32" s="1"/>
      <c r="E32" s="1"/>
    </row>
    <row r="33" spans="1:5" x14ac:dyDescent="0.25">
      <c r="A33" s="164"/>
      <c r="B33" s="1"/>
      <c r="C33" s="165"/>
      <c r="D33" s="32" t="s">
        <v>16</v>
      </c>
      <c r="E33" s="166">
        <f>E26+C31</f>
        <v>428480.52389999997</v>
      </c>
    </row>
    <row r="34" spans="1:5" x14ac:dyDescent="0.25">
      <c r="A34" s="12" t="s">
        <v>17</v>
      </c>
      <c r="B34" s="1"/>
      <c r="C34" s="1"/>
      <c r="D34" s="1"/>
      <c r="E34" s="1"/>
    </row>
    <row r="35" spans="1:5" ht="25.5" x14ac:dyDescent="0.25">
      <c r="A35" s="16" t="s">
        <v>18</v>
      </c>
      <c r="B35" s="16" t="s">
        <v>19</v>
      </c>
      <c r="C35" s="16" t="s">
        <v>20</v>
      </c>
      <c r="D35" s="29" t="s">
        <v>21</v>
      </c>
      <c r="E35" s="1"/>
    </row>
    <row r="36" spans="1:5" x14ac:dyDescent="0.25">
      <c r="A36" s="167" t="s">
        <v>135</v>
      </c>
      <c r="B36" s="168">
        <v>1</v>
      </c>
      <c r="C36" s="38">
        <v>1800</v>
      </c>
      <c r="D36" s="169">
        <f>C36*B36</f>
        <v>1800</v>
      </c>
      <c r="E36" s="1"/>
    </row>
    <row r="37" spans="1:5" x14ac:dyDescent="0.25">
      <c r="A37" s="167" t="s">
        <v>136</v>
      </c>
      <c r="B37" s="240">
        <v>2</v>
      </c>
      <c r="C37" s="226">
        <v>5000</v>
      </c>
      <c r="D37" s="169">
        <f t="shared" ref="D37:D43" si="2">C37*B37</f>
        <v>10000</v>
      </c>
      <c r="E37" s="1"/>
    </row>
    <row r="38" spans="1:5" x14ac:dyDescent="0.25">
      <c r="A38" s="167" t="s">
        <v>137</v>
      </c>
      <c r="B38" s="240">
        <v>15</v>
      </c>
      <c r="C38" s="226">
        <v>750</v>
      </c>
      <c r="D38" s="169">
        <f t="shared" si="2"/>
        <v>11250</v>
      </c>
      <c r="E38" s="1"/>
    </row>
    <row r="39" spans="1:5" x14ac:dyDescent="0.25">
      <c r="A39" s="167" t="s">
        <v>157</v>
      </c>
      <c r="B39" s="168">
        <v>1</v>
      </c>
      <c r="C39" s="38">
        <v>800</v>
      </c>
      <c r="D39" s="169">
        <f t="shared" si="2"/>
        <v>800</v>
      </c>
      <c r="E39" s="1"/>
    </row>
    <row r="40" spans="1:5" x14ac:dyDescent="0.25">
      <c r="A40" s="167" t="s">
        <v>158</v>
      </c>
      <c r="B40" s="168">
        <v>2</v>
      </c>
      <c r="C40" s="38">
        <f>1200+1000</f>
        <v>2200</v>
      </c>
      <c r="D40" s="169">
        <f t="shared" si="2"/>
        <v>4400</v>
      </c>
      <c r="E40" s="1"/>
    </row>
    <row r="41" spans="1:5" x14ac:dyDescent="0.25">
      <c r="A41" s="167" t="s">
        <v>138</v>
      </c>
      <c r="B41" s="168">
        <v>5</v>
      </c>
      <c r="C41" s="38">
        <v>500</v>
      </c>
      <c r="D41" s="169">
        <f t="shared" si="2"/>
        <v>2500</v>
      </c>
      <c r="E41" s="1"/>
    </row>
    <row r="42" spans="1:5" x14ac:dyDescent="0.25">
      <c r="A42" s="167" t="s">
        <v>151</v>
      </c>
      <c r="B42" s="168">
        <v>6</v>
      </c>
      <c r="C42" s="38">
        <v>1800</v>
      </c>
      <c r="D42" s="169">
        <f t="shared" si="2"/>
        <v>10800</v>
      </c>
      <c r="E42" s="1"/>
    </row>
    <row r="43" spans="1:5" x14ac:dyDescent="0.25">
      <c r="A43" s="167" t="s">
        <v>152</v>
      </c>
      <c r="B43" s="168">
        <v>20</v>
      </c>
      <c r="C43" s="38">
        <v>260</v>
      </c>
      <c r="D43" s="169">
        <f t="shared" si="2"/>
        <v>5200</v>
      </c>
      <c r="E43" s="1"/>
    </row>
    <row r="44" spans="1:5" x14ac:dyDescent="0.25">
      <c r="A44" s="170" t="s">
        <v>139</v>
      </c>
      <c r="B44" s="171">
        <v>1</v>
      </c>
      <c r="C44" s="38">
        <v>300</v>
      </c>
      <c r="D44" s="169">
        <f>C44*B44</f>
        <v>300</v>
      </c>
    </row>
    <row r="45" spans="1:5" x14ac:dyDescent="0.25">
      <c r="A45" s="173"/>
      <c r="B45" s="1"/>
      <c r="C45" s="19" t="s">
        <v>22</v>
      </c>
      <c r="D45" s="187">
        <f>SUM(D36:D44)</f>
        <v>47050</v>
      </c>
    </row>
    <row r="46" spans="1:5" x14ac:dyDescent="0.25">
      <c r="A46" s="12" t="s">
        <v>23</v>
      </c>
      <c r="B46" s="1"/>
      <c r="C46" s="1"/>
      <c r="D46" s="1"/>
    </row>
    <row r="47" spans="1:5" ht="25.5" x14ac:dyDescent="0.25">
      <c r="A47" s="14" t="s">
        <v>18</v>
      </c>
      <c r="B47" s="15" t="s">
        <v>19</v>
      </c>
      <c r="C47" s="14" t="s">
        <v>20</v>
      </c>
      <c r="D47" s="29" t="s">
        <v>21</v>
      </c>
    </row>
    <row r="48" spans="1:5" x14ac:dyDescent="0.25">
      <c r="A48" s="176" t="s">
        <v>24</v>
      </c>
      <c r="B48" s="177" t="s">
        <v>71</v>
      </c>
      <c r="C48" s="38">
        <v>7500</v>
      </c>
      <c r="D48" s="178">
        <f>C48</f>
        <v>7500</v>
      </c>
    </row>
    <row r="49" spans="1:7" x14ac:dyDescent="0.25">
      <c r="A49" s="179" t="s">
        <v>141</v>
      </c>
      <c r="B49" s="168" t="s">
        <v>71</v>
      </c>
      <c r="C49" s="38">
        <v>9500</v>
      </c>
      <c r="D49" s="180">
        <f>C49</f>
        <v>9500</v>
      </c>
    </row>
    <row r="50" spans="1:7" x14ac:dyDescent="0.25">
      <c r="A50" s="181" t="s">
        <v>142</v>
      </c>
      <c r="B50" s="182" t="s">
        <v>71</v>
      </c>
      <c r="C50" s="38">
        <v>10000</v>
      </c>
      <c r="D50" s="169">
        <f>C50</f>
        <v>10000</v>
      </c>
    </row>
    <row r="51" spans="1:7" x14ac:dyDescent="0.25">
      <c r="A51" s="183" t="s">
        <v>144</v>
      </c>
      <c r="B51" s="171" t="s">
        <v>71</v>
      </c>
      <c r="C51" s="38">
        <v>72000</v>
      </c>
      <c r="D51" s="169">
        <f>C51</f>
        <v>72000</v>
      </c>
    </row>
    <row r="52" spans="1:7" x14ac:dyDescent="0.25">
      <c r="A52" s="173"/>
      <c r="B52" s="1"/>
      <c r="C52" s="19" t="s">
        <v>25</v>
      </c>
      <c r="D52" s="187">
        <f>SUM(D48:D51)</f>
        <v>99000</v>
      </c>
    </row>
    <row r="53" spans="1:7" x14ac:dyDescent="0.25">
      <c r="A53" s="12" t="s">
        <v>26</v>
      </c>
      <c r="B53" s="1"/>
      <c r="C53" s="1"/>
      <c r="D53" s="1"/>
    </row>
    <row r="54" spans="1:7" ht="25.5" x14ac:dyDescent="0.25">
      <c r="A54" s="16" t="s">
        <v>18</v>
      </c>
      <c r="B54" s="16" t="s">
        <v>27</v>
      </c>
      <c r="C54" s="16" t="s">
        <v>28</v>
      </c>
      <c r="D54" s="29" t="s">
        <v>21</v>
      </c>
    </row>
    <row r="55" spans="1:7" x14ac:dyDescent="0.25">
      <c r="A55" s="184" t="s">
        <v>29</v>
      </c>
      <c r="B55" s="240">
        <v>38</v>
      </c>
      <c r="C55" s="38">
        <v>700</v>
      </c>
      <c r="D55" s="39">
        <f>C55*B55+(500*2)</f>
        <v>27600</v>
      </c>
      <c r="E55" s="1"/>
      <c r="F55" s="1"/>
      <c r="G55" s="1"/>
    </row>
    <row r="56" spans="1:7" x14ac:dyDescent="0.25">
      <c r="A56" s="184" t="s">
        <v>67</v>
      </c>
      <c r="B56" s="240">
        <v>38</v>
      </c>
      <c r="C56" s="38">
        <v>450</v>
      </c>
      <c r="D56" s="39">
        <f t="shared" ref="D56:D62" si="3">C56*B56</f>
        <v>17100</v>
      </c>
      <c r="E56" s="1"/>
      <c r="F56" s="1"/>
      <c r="G56" s="1"/>
    </row>
    <row r="57" spans="1:7" x14ac:dyDescent="0.25">
      <c r="A57" s="184" t="s">
        <v>68</v>
      </c>
      <c r="B57" s="240">
        <v>38</v>
      </c>
      <c r="C57" s="38">
        <v>55</v>
      </c>
      <c r="D57" s="39">
        <f t="shared" si="3"/>
        <v>2090</v>
      </c>
      <c r="E57" s="1"/>
      <c r="F57" s="1"/>
      <c r="G57" s="1"/>
    </row>
    <row r="58" spans="1:7" x14ac:dyDescent="0.25">
      <c r="A58" s="184" t="s">
        <v>76</v>
      </c>
      <c r="B58" s="168" t="s">
        <v>71</v>
      </c>
      <c r="C58" s="38">
        <f>38*150*2</f>
        <v>11400</v>
      </c>
      <c r="D58" s="39">
        <f>C58</f>
        <v>11400</v>
      </c>
      <c r="E58" s="1"/>
      <c r="F58" s="1"/>
      <c r="G58" s="1"/>
    </row>
    <row r="59" spans="1:7" x14ac:dyDescent="0.25">
      <c r="A59" s="184" t="s">
        <v>77</v>
      </c>
      <c r="B59" s="168" t="s">
        <v>71</v>
      </c>
      <c r="C59" s="226">
        <f>((0.3*38*750)+(0.7*38*500))*1.4</f>
        <v>30589.999999999996</v>
      </c>
      <c r="D59" s="39">
        <f>C59</f>
        <v>30589.999999999996</v>
      </c>
      <c r="E59" s="1"/>
      <c r="F59" s="1"/>
      <c r="G59" s="1"/>
    </row>
    <row r="60" spans="1:7" x14ac:dyDescent="0.25">
      <c r="A60" s="184" t="s">
        <v>155</v>
      </c>
      <c r="B60" s="168" t="s">
        <v>71</v>
      </c>
      <c r="C60" s="38">
        <f>250*35</f>
        <v>8750</v>
      </c>
      <c r="D60" s="39">
        <f>C60</f>
        <v>8750</v>
      </c>
      <c r="E60" s="1"/>
    </row>
    <row r="61" spans="1:7" x14ac:dyDescent="0.25">
      <c r="A61" s="184" t="s">
        <v>162</v>
      </c>
      <c r="B61" s="168" t="s">
        <v>71</v>
      </c>
      <c r="C61" s="226">
        <f>38*80+4500</f>
        <v>7540</v>
      </c>
      <c r="D61" s="39">
        <f>C61</f>
        <v>7540</v>
      </c>
      <c r="E61" s="1"/>
    </row>
    <row r="62" spans="1:7" x14ac:dyDescent="0.25">
      <c r="A62" s="184" t="s">
        <v>69</v>
      </c>
      <c r="B62" s="168">
        <v>38</v>
      </c>
      <c r="C62" s="38">
        <v>485.23</v>
      </c>
      <c r="D62" s="39">
        <f t="shared" si="3"/>
        <v>18438.740000000002</v>
      </c>
      <c r="E62" s="1"/>
      <c r="F62" s="1"/>
      <c r="G62" s="1"/>
    </row>
    <row r="63" spans="1:7" x14ac:dyDescent="0.25">
      <c r="A63" s="184" t="s">
        <v>70</v>
      </c>
      <c r="B63" s="168" t="s">
        <v>71</v>
      </c>
      <c r="C63" s="38">
        <f>38*2*30*4.5</f>
        <v>10260</v>
      </c>
      <c r="D63" s="39">
        <f t="shared" ref="D63" si="4">C63</f>
        <v>10260</v>
      </c>
      <c r="E63" s="1"/>
      <c r="F63" s="1"/>
      <c r="G63" s="1"/>
    </row>
    <row r="64" spans="1:7" x14ac:dyDescent="0.25">
      <c r="A64" s="185" t="s">
        <v>117</v>
      </c>
      <c r="B64" s="168" t="s">
        <v>71</v>
      </c>
      <c r="C64" s="38">
        <v>33255.360000000001</v>
      </c>
      <c r="D64" s="39">
        <f>C64</f>
        <v>33255.360000000001</v>
      </c>
      <c r="E64" s="1"/>
      <c r="F64" s="1"/>
      <c r="G64" s="1"/>
    </row>
    <row r="65" spans="1:7" x14ac:dyDescent="0.25">
      <c r="A65" s="185" t="s">
        <v>145</v>
      </c>
      <c r="B65" s="168" t="s">
        <v>71</v>
      </c>
      <c r="C65" s="38">
        <v>20000</v>
      </c>
      <c r="D65" s="39">
        <f>C65</f>
        <v>20000</v>
      </c>
      <c r="E65" s="1"/>
      <c r="F65" s="1"/>
      <c r="G65" s="1"/>
    </row>
    <row r="66" spans="1:7" x14ac:dyDescent="0.25">
      <c r="A66" s="185" t="s">
        <v>79</v>
      </c>
      <c r="B66" s="168" t="s">
        <v>71</v>
      </c>
      <c r="C66" s="38">
        <f>90*12*30</f>
        <v>32400</v>
      </c>
      <c r="D66" s="39">
        <f t="shared" ref="D66:D67" si="5">C66</f>
        <v>32400</v>
      </c>
      <c r="E66" s="1"/>
      <c r="F66" s="1"/>
      <c r="G66" s="1"/>
    </row>
    <row r="67" spans="1:7" x14ac:dyDescent="0.25">
      <c r="A67" s="185" t="s">
        <v>80</v>
      </c>
      <c r="B67" s="168" t="s">
        <v>71</v>
      </c>
      <c r="C67" s="38">
        <f>12*1000</f>
        <v>12000</v>
      </c>
      <c r="D67" s="39">
        <f t="shared" si="5"/>
        <v>12000</v>
      </c>
      <c r="E67" s="1"/>
      <c r="F67" s="1"/>
      <c r="G67" s="1"/>
    </row>
    <row r="68" spans="1:7" x14ac:dyDescent="0.25">
      <c r="A68" s="185" t="s">
        <v>146</v>
      </c>
      <c r="B68" s="168" t="s">
        <v>71</v>
      </c>
      <c r="C68" s="38">
        <v>62309.08</v>
      </c>
      <c r="D68" s="39">
        <f>C68</f>
        <v>62309.08</v>
      </c>
      <c r="E68" s="1"/>
      <c r="F68" s="1"/>
      <c r="G68" s="1"/>
    </row>
    <row r="69" spans="1:7" x14ac:dyDescent="0.25">
      <c r="A69" s="1"/>
      <c r="B69" s="22" t="s">
        <v>30</v>
      </c>
      <c r="C69" s="186"/>
      <c r="D69" s="187">
        <f>SUM(D55:D68)</f>
        <v>293733.18</v>
      </c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34" t="s">
        <v>31</v>
      </c>
      <c r="C71" s="35"/>
      <c r="D71" s="36"/>
      <c r="E71" s="37">
        <f>E33+D45+D52+D69</f>
        <v>868263.70389999985</v>
      </c>
      <c r="F71" s="1"/>
      <c r="G71" s="1"/>
    </row>
    <row r="72" spans="1:7" x14ac:dyDescent="0.25">
      <c r="A72" s="20" t="s">
        <v>32</v>
      </c>
      <c r="B72" s="21"/>
      <c r="C72" s="21"/>
      <c r="D72" s="21"/>
      <c r="E72" s="21"/>
      <c r="F72" s="215"/>
      <c r="G72" s="215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ht="38.25" x14ac:dyDescent="0.25">
      <c r="A74" s="16" t="s">
        <v>18</v>
      </c>
      <c r="B74" s="16" t="s">
        <v>33</v>
      </c>
      <c r="C74" s="16" t="s">
        <v>34</v>
      </c>
      <c r="D74" s="29" t="s">
        <v>21</v>
      </c>
      <c r="E74" s="1"/>
      <c r="F74" s="1"/>
      <c r="G74" s="1"/>
    </row>
    <row r="75" spans="1:7" x14ac:dyDescent="0.25">
      <c r="A75" s="184" t="s">
        <v>72</v>
      </c>
      <c r="B75" s="188">
        <v>0.08</v>
      </c>
      <c r="C75" s="40">
        <f>B75*E71</f>
        <v>69461.096311999994</v>
      </c>
      <c r="D75" s="40">
        <f>C75</f>
        <v>69461.096311999994</v>
      </c>
      <c r="E75" s="1"/>
      <c r="F75" s="1"/>
      <c r="G75" s="1"/>
    </row>
    <row r="76" spans="1:7" x14ac:dyDescent="0.25">
      <c r="A76" s="184" t="s">
        <v>73</v>
      </c>
      <c r="B76" s="189">
        <v>0.01</v>
      </c>
      <c r="C76" s="41">
        <f>B76*E71</f>
        <v>8682.6370389999993</v>
      </c>
      <c r="D76" s="41">
        <f>C76</f>
        <v>8682.6370389999993</v>
      </c>
      <c r="E76" s="1"/>
      <c r="F76" s="1"/>
      <c r="G76" s="1"/>
    </row>
    <row r="77" spans="1:7" x14ac:dyDescent="0.25">
      <c r="A77" s="190" t="s">
        <v>74</v>
      </c>
      <c r="B77" s="191">
        <v>0.08</v>
      </c>
      <c r="C77" s="42">
        <f>B77*E71</f>
        <v>69461.096311999994</v>
      </c>
      <c r="D77" s="41">
        <f>C77</f>
        <v>69461.096311999994</v>
      </c>
      <c r="E77" s="1"/>
      <c r="F77" s="1"/>
      <c r="G77" s="1"/>
    </row>
    <row r="78" spans="1:7" x14ac:dyDescent="0.25">
      <c r="A78" s="192"/>
      <c r="B78" s="193"/>
      <c r="C78" s="43">
        <v>0</v>
      </c>
      <c r="D78" s="43">
        <v>0</v>
      </c>
      <c r="E78" s="1"/>
      <c r="F78" s="1"/>
      <c r="G78" s="1"/>
    </row>
    <row r="79" spans="1:7" x14ac:dyDescent="0.25">
      <c r="A79" s="194"/>
      <c r="B79" s="194"/>
      <c r="C79" s="23" t="s">
        <v>35</v>
      </c>
      <c r="D79" s="187">
        <f>SUM(D75:D78)</f>
        <v>147604.82966299998</v>
      </c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20" t="s">
        <v>36</v>
      </c>
      <c r="B81" s="21"/>
      <c r="C81" s="21"/>
      <c r="D81" s="21"/>
      <c r="E81" s="21"/>
      <c r="F81" s="215"/>
      <c r="G81" s="215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ht="25.5" x14ac:dyDescent="0.25">
      <c r="A83" s="16" t="s">
        <v>18</v>
      </c>
      <c r="B83" s="16" t="s">
        <v>37</v>
      </c>
      <c r="C83" s="16" t="s">
        <v>34</v>
      </c>
      <c r="D83" s="29" t="s">
        <v>21</v>
      </c>
      <c r="E83" s="1"/>
      <c r="F83" s="1"/>
      <c r="G83" s="1"/>
    </row>
    <row r="84" spans="1:7" x14ac:dyDescent="0.25">
      <c r="A84" s="195" t="s">
        <v>75</v>
      </c>
      <c r="B84" s="188">
        <v>7.6799999999999993E-2</v>
      </c>
      <c r="C84" s="40">
        <f>B84*E71</f>
        <v>66682.652459519988</v>
      </c>
      <c r="D84" s="40">
        <f>C84</f>
        <v>66682.652459519988</v>
      </c>
      <c r="E84" s="1"/>
      <c r="F84" s="1"/>
      <c r="G84" s="1"/>
    </row>
    <row r="85" spans="1:7" x14ac:dyDescent="0.25">
      <c r="A85" s="184"/>
      <c r="B85" s="189"/>
      <c r="C85" s="41">
        <v>0</v>
      </c>
      <c r="D85" s="41">
        <v>0</v>
      </c>
      <c r="E85" s="1"/>
      <c r="F85" s="1"/>
      <c r="G85" s="1"/>
    </row>
    <row r="86" spans="1:7" x14ac:dyDescent="0.25">
      <c r="A86" s="196"/>
      <c r="B86" s="197"/>
      <c r="C86" s="50">
        <v>0</v>
      </c>
      <c r="D86" s="50">
        <v>0</v>
      </c>
      <c r="E86" s="1"/>
      <c r="F86" s="1"/>
      <c r="G86" s="1"/>
    </row>
    <row r="87" spans="1:7" x14ac:dyDescent="0.25">
      <c r="A87" s="194"/>
      <c r="B87" s="22" t="s">
        <v>38</v>
      </c>
      <c r="C87" s="186"/>
      <c r="D87" s="187">
        <f>SUM(D84:D86)</f>
        <v>66682.652459519988</v>
      </c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20" t="s">
        <v>39</v>
      </c>
      <c r="B89" s="21"/>
      <c r="C89" s="21"/>
      <c r="D89" s="21"/>
      <c r="E89" s="21"/>
      <c r="F89" s="215"/>
      <c r="G89" s="215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2" t="s">
        <v>40</v>
      </c>
      <c r="B91" s="3"/>
      <c r="C91" s="3"/>
      <c r="D91" s="4"/>
      <c r="E91" s="198">
        <f>E71+D79+D87</f>
        <v>1082551.1860225198</v>
      </c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20" t="s">
        <v>41</v>
      </c>
      <c r="B93" s="21"/>
      <c r="C93" s="21"/>
      <c r="D93" s="21"/>
      <c r="E93" s="21"/>
      <c r="F93" s="215"/>
      <c r="G93" s="215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6" t="s">
        <v>18</v>
      </c>
      <c r="B95" s="16" t="s">
        <v>37</v>
      </c>
      <c r="C95" s="1"/>
      <c r="D95" s="1"/>
      <c r="E95" s="1"/>
      <c r="F95" s="1"/>
      <c r="G95" s="1"/>
    </row>
    <row r="96" spans="1:7" x14ac:dyDescent="0.25">
      <c r="A96" s="199" t="s">
        <v>42</v>
      </c>
      <c r="B96" s="188">
        <v>0.05</v>
      </c>
      <c r="C96" s="1"/>
      <c r="D96" s="1"/>
      <c r="E96" s="1"/>
      <c r="F96" s="1"/>
      <c r="G96" s="1"/>
    </row>
    <row r="97" spans="1:7" x14ac:dyDescent="0.25">
      <c r="A97" s="181" t="s">
        <v>43</v>
      </c>
      <c r="B97" s="189">
        <v>6.4999999999999997E-3</v>
      </c>
      <c r="C97" s="1"/>
      <c r="D97" s="1"/>
      <c r="E97" s="1"/>
      <c r="F97" s="1"/>
      <c r="G97" s="1"/>
    </row>
    <row r="98" spans="1:7" x14ac:dyDescent="0.25">
      <c r="A98" s="200" t="s">
        <v>44</v>
      </c>
      <c r="B98" s="197">
        <v>0.03</v>
      </c>
      <c r="C98" s="1"/>
      <c r="D98" s="1"/>
      <c r="E98" s="1"/>
      <c r="F98" s="1"/>
      <c r="G98" s="1"/>
    </row>
    <row r="99" spans="1:7" x14ac:dyDescent="0.25">
      <c r="A99" s="1"/>
      <c r="B99" s="201"/>
      <c r="C99" s="1"/>
      <c r="D99" s="1"/>
      <c r="E99" s="1"/>
      <c r="F99" s="1"/>
      <c r="G99" s="1"/>
    </row>
    <row r="100" spans="1:7" ht="27.75" customHeight="1" x14ac:dyDescent="0.25">
      <c r="A100" s="5" t="s">
        <v>45</v>
      </c>
      <c r="B100" s="202">
        <f>SUM(B96:B98)</f>
        <v>8.6499999999999994E-2</v>
      </c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20" t="s">
        <v>46</v>
      </c>
      <c r="B102" s="21"/>
      <c r="C102" s="21"/>
      <c r="D102" s="21"/>
      <c r="E102" s="44">
        <f>E91*1.0865</f>
        <v>1176191.8636134679</v>
      </c>
      <c r="F102" s="215"/>
      <c r="G102" s="215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20" t="s">
        <v>147</v>
      </c>
      <c r="B104" s="21"/>
      <c r="C104" s="21"/>
      <c r="D104" s="21"/>
      <c r="E104" s="21"/>
    </row>
    <row r="105" spans="1:7" x14ac:dyDescent="0.25">
      <c r="A105" s="45"/>
      <c r="B105" s="46"/>
      <c r="C105" s="46"/>
      <c r="D105" s="46"/>
      <c r="E105" s="46"/>
      <c r="F105" s="47"/>
    </row>
    <row r="106" spans="1:7" ht="25.5" x14ac:dyDescent="0.25">
      <c r="A106" s="16" t="s">
        <v>18</v>
      </c>
      <c r="B106" s="16" t="s">
        <v>27</v>
      </c>
      <c r="C106" s="16" t="s">
        <v>28</v>
      </c>
      <c r="D106" s="29" t="s">
        <v>21</v>
      </c>
      <c r="E106" s="48"/>
    </row>
    <row r="107" spans="1:7" ht="15.75" x14ac:dyDescent="0.25">
      <c r="A107" s="203" t="s">
        <v>78</v>
      </c>
      <c r="B107" s="168" t="s">
        <v>71</v>
      </c>
      <c r="C107" s="38">
        <f>E26*46%</f>
        <v>106541.10324</v>
      </c>
      <c r="D107" s="41">
        <f>C107</f>
        <v>106541.10324</v>
      </c>
      <c r="E107" s="48"/>
    </row>
    <row r="108" spans="1:7" ht="15.75" x14ac:dyDescent="0.25">
      <c r="A108" s="185"/>
      <c r="B108" s="168"/>
      <c r="C108" s="38"/>
      <c r="D108" s="39"/>
      <c r="E108" s="48"/>
    </row>
    <row r="109" spans="1:7" ht="15.75" x14ac:dyDescent="0.25">
      <c r="A109" s="185"/>
      <c r="B109" s="168"/>
      <c r="C109" s="38"/>
      <c r="D109" s="39"/>
      <c r="E109" s="48"/>
    </row>
    <row r="110" spans="1:7" x14ac:dyDescent="0.25">
      <c r="B110" s="1"/>
      <c r="C110" s="1"/>
      <c r="D110" s="204">
        <f>SUM(D107:D109)</f>
        <v>106541.10324</v>
      </c>
      <c r="E110" s="1"/>
    </row>
    <row r="111" spans="1:7" x14ac:dyDescent="0.25">
      <c r="A111" s="33"/>
      <c r="B111" s="1"/>
      <c r="C111" s="1"/>
      <c r="D111" s="1"/>
      <c r="E111" s="1"/>
    </row>
    <row r="112" spans="1:7" x14ac:dyDescent="0.25">
      <c r="A112" s="20" t="s">
        <v>148</v>
      </c>
      <c r="B112" s="21"/>
      <c r="C112" s="21"/>
      <c r="D112" s="21"/>
      <c r="E112" s="21"/>
    </row>
    <row r="113" spans="1:12" x14ac:dyDescent="0.25">
      <c r="A113" s="1"/>
      <c r="B113" s="1"/>
      <c r="C113" s="1"/>
      <c r="D113" s="1"/>
      <c r="E113" s="1"/>
    </row>
    <row r="114" spans="1:12" x14ac:dyDescent="0.25">
      <c r="A114" s="16" t="s">
        <v>18</v>
      </c>
      <c r="B114" s="16" t="s">
        <v>37</v>
      </c>
      <c r="C114" s="1"/>
      <c r="D114" s="1"/>
      <c r="E114" s="1"/>
    </row>
    <row r="115" spans="1:12" x14ac:dyDescent="0.25">
      <c r="A115" s="199" t="s">
        <v>42</v>
      </c>
      <c r="B115" s="188">
        <v>0.05</v>
      </c>
      <c r="C115" s="1"/>
      <c r="D115" s="1"/>
      <c r="E115" s="1"/>
    </row>
    <row r="116" spans="1:12" x14ac:dyDescent="0.25">
      <c r="A116" s="181" t="s">
        <v>43</v>
      </c>
      <c r="B116" s="189">
        <v>6.4999999999999997E-3</v>
      </c>
      <c r="C116" s="1"/>
      <c r="D116" s="1"/>
      <c r="E116" s="205"/>
    </row>
    <row r="117" spans="1:12" x14ac:dyDescent="0.25">
      <c r="A117" s="181" t="s">
        <v>44</v>
      </c>
      <c r="B117" s="189">
        <v>0.03</v>
      </c>
      <c r="C117" s="1"/>
      <c r="D117" s="1"/>
      <c r="E117" s="1"/>
    </row>
    <row r="118" spans="1:12" x14ac:dyDescent="0.25">
      <c r="A118" s="183" t="s">
        <v>75</v>
      </c>
      <c r="B118" s="193">
        <v>7.6799999999999993E-2</v>
      </c>
      <c r="C118" s="1"/>
      <c r="D118" s="1"/>
      <c r="E118" s="1"/>
    </row>
    <row r="119" spans="1:12" x14ac:dyDescent="0.25">
      <c r="A119" s="1"/>
      <c r="B119" s="201"/>
      <c r="C119" s="1"/>
      <c r="D119" s="1"/>
      <c r="E119" s="1"/>
    </row>
    <row r="120" spans="1:12" x14ac:dyDescent="0.25">
      <c r="A120" s="5" t="s">
        <v>45</v>
      </c>
      <c r="B120" s="202">
        <f>SUM(B115:B118)</f>
        <v>0.1633</v>
      </c>
      <c r="C120" s="1"/>
      <c r="D120" s="1"/>
      <c r="E120" s="206"/>
    </row>
    <row r="121" spans="1:12" x14ac:dyDescent="0.25">
      <c r="A121" s="1"/>
      <c r="B121" s="1"/>
      <c r="C121" s="1"/>
      <c r="D121" s="1"/>
      <c r="E121" s="1"/>
    </row>
    <row r="122" spans="1:12" x14ac:dyDescent="0.25">
      <c r="A122" s="207" t="s">
        <v>149</v>
      </c>
      <c r="B122" s="208"/>
      <c r="C122" s="208"/>
      <c r="D122" s="209"/>
      <c r="E122" s="44">
        <f>D110*1.1633</f>
        <v>123939.26539909199</v>
      </c>
    </row>
    <row r="123" spans="1:12" x14ac:dyDescent="0.25">
      <c r="A123" s="1"/>
      <c r="B123" s="1"/>
      <c r="C123" s="1"/>
      <c r="D123" s="1"/>
      <c r="E123" s="1"/>
    </row>
    <row r="124" spans="1:12" ht="15.75" x14ac:dyDescent="0.25">
      <c r="A124" s="17" t="s">
        <v>64</v>
      </c>
      <c r="B124" s="210"/>
      <c r="C124" s="210"/>
      <c r="D124" s="211"/>
      <c r="E124" s="212">
        <f>E102+E122</f>
        <v>1300131.12901256</v>
      </c>
      <c r="H124" s="213" t="s">
        <v>161</v>
      </c>
      <c r="I124" s="238">
        <v>819489.44</v>
      </c>
    </row>
    <row r="125" spans="1:12" x14ac:dyDescent="0.25">
      <c r="A125" s="1"/>
      <c r="B125" s="1"/>
      <c r="C125" s="1"/>
      <c r="D125" s="1"/>
      <c r="E125" s="1"/>
      <c r="F125" s="1"/>
      <c r="G125" s="1"/>
      <c r="I125" s="235"/>
      <c r="J125" s="239"/>
    </row>
    <row r="126" spans="1:12" x14ac:dyDescent="0.25">
      <c r="A126" s="33" t="s">
        <v>47</v>
      </c>
      <c r="B126" s="1"/>
      <c r="C126" s="1"/>
      <c r="D126" s="1"/>
      <c r="E126" s="1"/>
      <c r="F126" s="1"/>
      <c r="G126" s="1"/>
      <c r="J126" s="237"/>
    </row>
    <row r="127" spans="1:12" x14ac:dyDescent="0.25">
      <c r="A127" s="8" t="s">
        <v>48</v>
      </c>
      <c r="B127" s="1"/>
      <c r="C127" s="1"/>
      <c r="D127" s="1"/>
      <c r="E127" s="1"/>
      <c r="F127" s="1"/>
      <c r="G127" s="1"/>
      <c r="L127" s="225"/>
    </row>
    <row r="128" spans="1:12" x14ac:dyDescent="0.25">
      <c r="A128" s="9" t="s">
        <v>49</v>
      </c>
      <c r="B128" s="1"/>
      <c r="C128" s="1"/>
      <c r="D128" s="1"/>
      <c r="E128" s="1"/>
      <c r="F128" s="1"/>
      <c r="G128" s="1"/>
    </row>
    <row r="129" spans="1:12" x14ac:dyDescent="0.25">
      <c r="A129" s="9" t="s">
        <v>50</v>
      </c>
      <c r="B129" s="1"/>
      <c r="C129" s="1"/>
      <c r="D129" s="1"/>
      <c r="E129" s="1"/>
      <c r="F129" s="1"/>
      <c r="G129" s="1"/>
      <c r="K129" s="237"/>
    </row>
    <row r="130" spans="1:12" x14ac:dyDescent="0.25">
      <c r="A130" s="9" t="s">
        <v>51</v>
      </c>
      <c r="I130" s="235"/>
      <c r="J130" s="235"/>
    </row>
    <row r="131" spans="1:12" x14ac:dyDescent="0.25">
      <c r="A131" s="9" t="s">
        <v>52</v>
      </c>
      <c r="I131" s="237"/>
      <c r="K131" s="234"/>
      <c r="L131" s="235"/>
    </row>
    <row r="132" spans="1:12" x14ac:dyDescent="0.25">
      <c r="A132" s="9" t="s">
        <v>53</v>
      </c>
      <c r="J132" s="235"/>
    </row>
    <row r="133" spans="1:12" x14ac:dyDescent="0.25">
      <c r="A133" s="9" t="s">
        <v>54</v>
      </c>
    </row>
    <row r="134" spans="1:12" x14ac:dyDescent="0.25">
      <c r="A134" s="8" t="s">
        <v>55</v>
      </c>
      <c r="J134" s="236"/>
    </row>
    <row r="135" spans="1:12" x14ac:dyDescent="0.25">
      <c r="A135" s="9" t="s">
        <v>56</v>
      </c>
    </row>
    <row r="136" spans="1:12" x14ac:dyDescent="0.25">
      <c r="A136" s="9" t="s">
        <v>57</v>
      </c>
    </row>
    <row r="137" spans="1:12" x14ac:dyDescent="0.25">
      <c r="A137" s="11">
        <v>2</v>
      </c>
    </row>
    <row r="138" spans="1:12" x14ac:dyDescent="0.25">
      <c r="A138" s="9" t="s">
        <v>58</v>
      </c>
    </row>
    <row r="139" spans="1:12" x14ac:dyDescent="0.25">
      <c r="A139" s="11">
        <v>3</v>
      </c>
    </row>
    <row r="140" spans="1:12" x14ac:dyDescent="0.25">
      <c r="A140" s="9" t="s">
        <v>59</v>
      </c>
    </row>
    <row r="141" spans="1:12" x14ac:dyDescent="0.25">
      <c r="A141" s="11">
        <v>5</v>
      </c>
    </row>
    <row r="142" spans="1:12" x14ac:dyDescent="0.25">
      <c r="A142" s="9" t="s">
        <v>60</v>
      </c>
    </row>
    <row r="143" spans="1:12" x14ac:dyDescent="0.25">
      <c r="A143" s="9"/>
    </row>
    <row r="144" spans="1:12" x14ac:dyDescent="0.25">
      <c r="A144" s="10" t="s">
        <v>61</v>
      </c>
    </row>
    <row r="145" spans="1:1" x14ac:dyDescent="0.25">
      <c r="A145" s="1"/>
    </row>
    <row r="146" spans="1:1" x14ac:dyDescent="0.25">
      <c r="A146" s="13" t="s">
        <v>62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65" orientation="portrait" r:id="rId1"/>
  <rowBreaks count="2" manualBreakCount="2">
    <brk id="52" max="16383" man="1"/>
    <brk id="124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6D7F-952E-4B0C-817D-6E95A95E86F5}">
  <dimension ref="A1:M84"/>
  <sheetViews>
    <sheetView topLeftCell="A51" workbookViewId="0">
      <selection activeCell="G70" sqref="G70"/>
    </sheetView>
  </sheetViews>
  <sheetFormatPr defaultColWidth="7.85546875" defaultRowHeight="15" x14ac:dyDescent="0.2"/>
  <cols>
    <col min="1" max="1" width="29.28515625" style="51" customWidth="1"/>
    <col min="2" max="2" width="14.42578125" style="51" customWidth="1"/>
    <col min="3" max="3" width="16" style="51" customWidth="1"/>
    <col min="4" max="5" width="13.7109375" style="51" customWidth="1"/>
    <col min="6" max="6" width="16.85546875" style="51" customWidth="1"/>
    <col min="7" max="7" width="15.140625" style="51" customWidth="1"/>
    <col min="8" max="8" width="13.7109375" style="51" customWidth="1"/>
    <col min="9" max="9" width="17" style="51" customWidth="1"/>
    <col min="10" max="10" width="13.140625" style="51" bestFit="1" customWidth="1"/>
    <col min="11" max="11" width="7.85546875" style="51"/>
    <col min="12" max="12" width="14.28515625" style="51" bestFit="1" customWidth="1"/>
    <col min="13" max="13" width="16.42578125" style="51" bestFit="1" customWidth="1"/>
    <col min="14" max="256" width="7.85546875" style="51"/>
    <col min="257" max="257" width="29.28515625" style="51" customWidth="1"/>
    <col min="258" max="258" width="14.42578125" style="51" customWidth="1"/>
    <col min="259" max="259" width="16" style="51" customWidth="1"/>
    <col min="260" max="261" width="13.7109375" style="51" customWidth="1"/>
    <col min="262" max="262" width="16.85546875" style="51" customWidth="1"/>
    <col min="263" max="263" width="15.140625" style="51" customWidth="1"/>
    <col min="264" max="264" width="13.7109375" style="51" customWidth="1"/>
    <col min="265" max="265" width="17" style="51" customWidth="1"/>
    <col min="266" max="266" width="13.140625" style="51" bestFit="1" customWidth="1"/>
    <col min="267" max="267" width="7.85546875" style="51"/>
    <col min="268" max="268" width="14.28515625" style="51" bestFit="1" customWidth="1"/>
    <col min="269" max="269" width="16.42578125" style="51" bestFit="1" customWidth="1"/>
    <col min="270" max="512" width="7.85546875" style="51"/>
    <col min="513" max="513" width="29.28515625" style="51" customWidth="1"/>
    <col min="514" max="514" width="14.42578125" style="51" customWidth="1"/>
    <col min="515" max="515" width="16" style="51" customWidth="1"/>
    <col min="516" max="517" width="13.7109375" style="51" customWidth="1"/>
    <col min="518" max="518" width="16.85546875" style="51" customWidth="1"/>
    <col min="519" max="519" width="15.140625" style="51" customWidth="1"/>
    <col min="520" max="520" width="13.7109375" style="51" customWidth="1"/>
    <col min="521" max="521" width="17" style="51" customWidth="1"/>
    <col min="522" max="522" width="13.140625" style="51" bestFit="1" customWidth="1"/>
    <col min="523" max="523" width="7.85546875" style="51"/>
    <col min="524" max="524" width="14.28515625" style="51" bestFit="1" customWidth="1"/>
    <col min="525" max="525" width="16.42578125" style="51" bestFit="1" customWidth="1"/>
    <col min="526" max="768" width="7.85546875" style="51"/>
    <col min="769" max="769" width="29.28515625" style="51" customWidth="1"/>
    <col min="770" max="770" width="14.42578125" style="51" customWidth="1"/>
    <col min="771" max="771" width="16" style="51" customWidth="1"/>
    <col min="772" max="773" width="13.7109375" style="51" customWidth="1"/>
    <col min="774" max="774" width="16.85546875" style="51" customWidth="1"/>
    <col min="775" max="775" width="15.140625" style="51" customWidth="1"/>
    <col min="776" max="776" width="13.7109375" style="51" customWidth="1"/>
    <col min="777" max="777" width="17" style="51" customWidth="1"/>
    <col min="778" max="778" width="13.140625" style="51" bestFit="1" customWidth="1"/>
    <col min="779" max="779" width="7.85546875" style="51"/>
    <col min="780" max="780" width="14.28515625" style="51" bestFit="1" customWidth="1"/>
    <col min="781" max="781" width="16.42578125" style="51" bestFit="1" customWidth="1"/>
    <col min="782" max="1024" width="7.85546875" style="51"/>
    <col min="1025" max="1025" width="29.28515625" style="51" customWidth="1"/>
    <col min="1026" max="1026" width="14.42578125" style="51" customWidth="1"/>
    <col min="1027" max="1027" width="16" style="51" customWidth="1"/>
    <col min="1028" max="1029" width="13.7109375" style="51" customWidth="1"/>
    <col min="1030" max="1030" width="16.85546875" style="51" customWidth="1"/>
    <col min="1031" max="1031" width="15.140625" style="51" customWidth="1"/>
    <col min="1032" max="1032" width="13.7109375" style="51" customWidth="1"/>
    <col min="1033" max="1033" width="17" style="51" customWidth="1"/>
    <col min="1034" max="1034" width="13.140625" style="51" bestFit="1" customWidth="1"/>
    <col min="1035" max="1035" width="7.85546875" style="51"/>
    <col min="1036" max="1036" width="14.28515625" style="51" bestFit="1" customWidth="1"/>
    <col min="1037" max="1037" width="16.42578125" style="51" bestFit="1" customWidth="1"/>
    <col min="1038" max="1280" width="7.85546875" style="51"/>
    <col min="1281" max="1281" width="29.28515625" style="51" customWidth="1"/>
    <col min="1282" max="1282" width="14.42578125" style="51" customWidth="1"/>
    <col min="1283" max="1283" width="16" style="51" customWidth="1"/>
    <col min="1284" max="1285" width="13.7109375" style="51" customWidth="1"/>
    <col min="1286" max="1286" width="16.85546875" style="51" customWidth="1"/>
    <col min="1287" max="1287" width="15.140625" style="51" customWidth="1"/>
    <col min="1288" max="1288" width="13.7109375" style="51" customWidth="1"/>
    <col min="1289" max="1289" width="17" style="51" customWidth="1"/>
    <col min="1290" max="1290" width="13.140625" style="51" bestFit="1" customWidth="1"/>
    <col min="1291" max="1291" width="7.85546875" style="51"/>
    <col min="1292" max="1292" width="14.28515625" style="51" bestFit="1" customWidth="1"/>
    <col min="1293" max="1293" width="16.42578125" style="51" bestFit="1" customWidth="1"/>
    <col min="1294" max="1536" width="7.85546875" style="51"/>
    <col min="1537" max="1537" width="29.28515625" style="51" customWidth="1"/>
    <col min="1538" max="1538" width="14.42578125" style="51" customWidth="1"/>
    <col min="1539" max="1539" width="16" style="51" customWidth="1"/>
    <col min="1540" max="1541" width="13.7109375" style="51" customWidth="1"/>
    <col min="1542" max="1542" width="16.85546875" style="51" customWidth="1"/>
    <col min="1543" max="1543" width="15.140625" style="51" customWidth="1"/>
    <col min="1544" max="1544" width="13.7109375" style="51" customWidth="1"/>
    <col min="1545" max="1545" width="17" style="51" customWidth="1"/>
    <col min="1546" max="1546" width="13.140625" style="51" bestFit="1" customWidth="1"/>
    <col min="1547" max="1547" width="7.85546875" style="51"/>
    <col min="1548" max="1548" width="14.28515625" style="51" bestFit="1" customWidth="1"/>
    <col min="1549" max="1549" width="16.42578125" style="51" bestFit="1" customWidth="1"/>
    <col min="1550" max="1792" width="7.85546875" style="51"/>
    <col min="1793" max="1793" width="29.28515625" style="51" customWidth="1"/>
    <col min="1794" max="1794" width="14.42578125" style="51" customWidth="1"/>
    <col min="1795" max="1795" width="16" style="51" customWidth="1"/>
    <col min="1796" max="1797" width="13.7109375" style="51" customWidth="1"/>
    <col min="1798" max="1798" width="16.85546875" style="51" customWidth="1"/>
    <col min="1799" max="1799" width="15.140625" style="51" customWidth="1"/>
    <col min="1800" max="1800" width="13.7109375" style="51" customWidth="1"/>
    <col min="1801" max="1801" width="17" style="51" customWidth="1"/>
    <col min="1802" max="1802" width="13.140625" style="51" bestFit="1" customWidth="1"/>
    <col min="1803" max="1803" width="7.85546875" style="51"/>
    <col min="1804" max="1804" width="14.28515625" style="51" bestFit="1" customWidth="1"/>
    <col min="1805" max="1805" width="16.42578125" style="51" bestFit="1" customWidth="1"/>
    <col min="1806" max="2048" width="7.85546875" style="51"/>
    <col min="2049" max="2049" width="29.28515625" style="51" customWidth="1"/>
    <col min="2050" max="2050" width="14.42578125" style="51" customWidth="1"/>
    <col min="2051" max="2051" width="16" style="51" customWidth="1"/>
    <col min="2052" max="2053" width="13.7109375" style="51" customWidth="1"/>
    <col min="2054" max="2054" width="16.85546875" style="51" customWidth="1"/>
    <col min="2055" max="2055" width="15.140625" style="51" customWidth="1"/>
    <col min="2056" max="2056" width="13.7109375" style="51" customWidth="1"/>
    <col min="2057" max="2057" width="17" style="51" customWidth="1"/>
    <col min="2058" max="2058" width="13.140625" style="51" bestFit="1" customWidth="1"/>
    <col min="2059" max="2059" width="7.85546875" style="51"/>
    <col min="2060" max="2060" width="14.28515625" style="51" bestFit="1" customWidth="1"/>
    <col min="2061" max="2061" width="16.42578125" style="51" bestFit="1" customWidth="1"/>
    <col min="2062" max="2304" width="7.85546875" style="51"/>
    <col min="2305" max="2305" width="29.28515625" style="51" customWidth="1"/>
    <col min="2306" max="2306" width="14.42578125" style="51" customWidth="1"/>
    <col min="2307" max="2307" width="16" style="51" customWidth="1"/>
    <col min="2308" max="2309" width="13.7109375" style="51" customWidth="1"/>
    <col min="2310" max="2310" width="16.85546875" style="51" customWidth="1"/>
    <col min="2311" max="2311" width="15.140625" style="51" customWidth="1"/>
    <col min="2312" max="2312" width="13.7109375" style="51" customWidth="1"/>
    <col min="2313" max="2313" width="17" style="51" customWidth="1"/>
    <col min="2314" max="2314" width="13.140625" style="51" bestFit="1" customWidth="1"/>
    <col min="2315" max="2315" width="7.85546875" style="51"/>
    <col min="2316" max="2316" width="14.28515625" style="51" bestFit="1" customWidth="1"/>
    <col min="2317" max="2317" width="16.42578125" style="51" bestFit="1" customWidth="1"/>
    <col min="2318" max="2560" width="7.85546875" style="51"/>
    <col min="2561" max="2561" width="29.28515625" style="51" customWidth="1"/>
    <col min="2562" max="2562" width="14.42578125" style="51" customWidth="1"/>
    <col min="2563" max="2563" width="16" style="51" customWidth="1"/>
    <col min="2564" max="2565" width="13.7109375" style="51" customWidth="1"/>
    <col min="2566" max="2566" width="16.85546875" style="51" customWidth="1"/>
    <col min="2567" max="2567" width="15.140625" style="51" customWidth="1"/>
    <col min="2568" max="2568" width="13.7109375" style="51" customWidth="1"/>
    <col min="2569" max="2569" width="17" style="51" customWidth="1"/>
    <col min="2570" max="2570" width="13.140625" style="51" bestFit="1" customWidth="1"/>
    <col min="2571" max="2571" width="7.85546875" style="51"/>
    <col min="2572" max="2572" width="14.28515625" style="51" bestFit="1" customWidth="1"/>
    <col min="2573" max="2573" width="16.42578125" style="51" bestFit="1" customWidth="1"/>
    <col min="2574" max="2816" width="7.85546875" style="51"/>
    <col min="2817" max="2817" width="29.28515625" style="51" customWidth="1"/>
    <col min="2818" max="2818" width="14.42578125" style="51" customWidth="1"/>
    <col min="2819" max="2819" width="16" style="51" customWidth="1"/>
    <col min="2820" max="2821" width="13.7109375" style="51" customWidth="1"/>
    <col min="2822" max="2822" width="16.85546875" style="51" customWidth="1"/>
    <col min="2823" max="2823" width="15.140625" style="51" customWidth="1"/>
    <col min="2824" max="2824" width="13.7109375" style="51" customWidth="1"/>
    <col min="2825" max="2825" width="17" style="51" customWidth="1"/>
    <col min="2826" max="2826" width="13.140625" style="51" bestFit="1" customWidth="1"/>
    <col min="2827" max="2827" width="7.85546875" style="51"/>
    <col min="2828" max="2828" width="14.28515625" style="51" bestFit="1" customWidth="1"/>
    <col min="2829" max="2829" width="16.42578125" style="51" bestFit="1" customWidth="1"/>
    <col min="2830" max="3072" width="7.85546875" style="51"/>
    <col min="3073" max="3073" width="29.28515625" style="51" customWidth="1"/>
    <col min="3074" max="3074" width="14.42578125" style="51" customWidth="1"/>
    <col min="3075" max="3075" width="16" style="51" customWidth="1"/>
    <col min="3076" max="3077" width="13.7109375" style="51" customWidth="1"/>
    <col min="3078" max="3078" width="16.85546875" style="51" customWidth="1"/>
    <col min="3079" max="3079" width="15.140625" style="51" customWidth="1"/>
    <col min="3080" max="3080" width="13.7109375" style="51" customWidth="1"/>
    <col min="3081" max="3081" width="17" style="51" customWidth="1"/>
    <col min="3082" max="3082" width="13.140625" style="51" bestFit="1" customWidth="1"/>
    <col min="3083" max="3083" width="7.85546875" style="51"/>
    <col min="3084" max="3084" width="14.28515625" style="51" bestFit="1" customWidth="1"/>
    <col min="3085" max="3085" width="16.42578125" style="51" bestFit="1" customWidth="1"/>
    <col min="3086" max="3328" width="7.85546875" style="51"/>
    <col min="3329" max="3329" width="29.28515625" style="51" customWidth="1"/>
    <col min="3330" max="3330" width="14.42578125" style="51" customWidth="1"/>
    <col min="3331" max="3331" width="16" style="51" customWidth="1"/>
    <col min="3332" max="3333" width="13.7109375" style="51" customWidth="1"/>
    <col min="3334" max="3334" width="16.85546875" style="51" customWidth="1"/>
    <col min="3335" max="3335" width="15.140625" style="51" customWidth="1"/>
    <col min="3336" max="3336" width="13.7109375" style="51" customWidth="1"/>
    <col min="3337" max="3337" width="17" style="51" customWidth="1"/>
    <col min="3338" max="3338" width="13.140625" style="51" bestFit="1" customWidth="1"/>
    <col min="3339" max="3339" width="7.85546875" style="51"/>
    <col min="3340" max="3340" width="14.28515625" style="51" bestFit="1" customWidth="1"/>
    <col min="3341" max="3341" width="16.42578125" style="51" bestFit="1" customWidth="1"/>
    <col min="3342" max="3584" width="7.85546875" style="51"/>
    <col min="3585" max="3585" width="29.28515625" style="51" customWidth="1"/>
    <col min="3586" max="3586" width="14.42578125" style="51" customWidth="1"/>
    <col min="3587" max="3587" width="16" style="51" customWidth="1"/>
    <col min="3588" max="3589" width="13.7109375" style="51" customWidth="1"/>
    <col min="3590" max="3590" width="16.85546875" style="51" customWidth="1"/>
    <col min="3591" max="3591" width="15.140625" style="51" customWidth="1"/>
    <col min="3592" max="3592" width="13.7109375" style="51" customWidth="1"/>
    <col min="3593" max="3593" width="17" style="51" customWidth="1"/>
    <col min="3594" max="3594" width="13.140625" style="51" bestFit="1" customWidth="1"/>
    <col min="3595" max="3595" width="7.85546875" style="51"/>
    <col min="3596" max="3596" width="14.28515625" style="51" bestFit="1" customWidth="1"/>
    <col min="3597" max="3597" width="16.42578125" style="51" bestFit="1" customWidth="1"/>
    <col min="3598" max="3840" width="7.85546875" style="51"/>
    <col min="3841" max="3841" width="29.28515625" style="51" customWidth="1"/>
    <col min="3842" max="3842" width="14.42578125" style="51" customWidth="1"/>
    <col min="3843" max="3843" width="16" style="51" customWidth="1"/>
    <col min="3844" max="3845" width="13.7109375" style="51" customWidth="1"/>
    <col min="3846" max="3846" width="16.85546875" style="51" customWidth="1"/>
    <col min="3847" max="3847" width="15.140625" style="51" customWidth="1"/>
    <col min="3848" max="3848" width="13.7109375" style="51" customWidth="1"/>
    <col min="3849" max="3849" width="17" style="51" customWidth="1"/>
    <col min="3850" max="3850" width="13.140625" style="51" bestFit="1" customWidth="1"/>
    <col min="3851" max="3851" width="7.85546875" style="51"/>
    <col min="3852" max="3852" width="14.28515625" style="51" bestFit="1" customWidth="1"/>
    <col min="3853" max="3853" width="16.42578125" style="51" bestFit="1" customWidth="1"/>
    <col min="3854" max="4096" width="7.85546875" style="51"/>
    <col min="4097" max="4097" width="29.28515625" style="51" customWidth="1"/>
    <col min="4098" max="4098" width="14.42578125" style="51" customWidth="1"/>
    <col min="4099" max="4099" width="16" style="51" customWidth="1"/>
    <col min="4100" max="4101" width="13.7109375" style="51" customWidth="1"/>
    <col min="4102" max="4102" width="16.85546875" style="51" customWidth="1"/>
    <col min="4103" max="4103" width="15.140625" style="51" customWidth="1"/>
    <col min="4104" max="4104" width="13.7109375" style="51" customWidth="1"/>
    <col min="4105" max="4105" width="17" style="51" customWidth="1"/>
    <col min="4106" max="4106" width="13.140625" style="51" bestFit="1" customWidth="1"/>
    <col min="4107" max="4107" width="7.85546875" style="51"/>
    <col min="4108" max="4108" width="14.28515625" style="51" bestFit="1" customWidth="1"/>
    <col min="4109" max="4109" width="16.42578125" style="51" bestFit="1" customWidth="1"/>
    <col min="4110" max="4352" width="7.85546875" style="51"/>
    <col min="4353" max="4353" width="29.28515625" style="51" customWidth="1"/>
    <col min="4354" max="4354" width="14.42578125" style="51" customWidth="1"/>
    <col min="4355" max="4355" width="16" style="51" customWidth="1"/>
    <col min="4356" max="4357" width="13.7109375" style="51" customWidth="1"/>
    <col min="4358" max="4358" width="16.85546875" style="51" customWidth="1"/>
    <col min="4359" max="4359" width="15.140625" style="51" customWidth="1"/>
    <col min="4360" max="4360" width="13.7109375" style="51" customWidth="1"/>
    <col min="4361" max="4361" width="17" style="51" customWidth="1"/>
    <col min="4362" max="4362" width="13.140625" style="51" bestFit="1" customWidth="1"/>
    <col min="4363" max="4363" width="7.85546875" style="51"/>
    <col min="4364" max="4364" width="14.28515625" style="51" bestFit="1" customWidth="1"/>
    <col min="4365" max="4365" width="16.42578125" style="51" bestFit="1" customWidth="1"/>
    <col min="4366" max="4608" width="7.85546875" style="51"/>
    <col min="4609" max="4609" width="29.28515625" style="51" customWidth="1"/>
    <col min="4610" max="4610" width="14.42578125" style="51" customWidth="1"/>
    <col min="4611" max="4611" width="16" style="51" customWidth="1"/>
    <col min="4612" max="4613" width="13.7109375" style="51" customWidth="1"/>
    <col min="4614" max="4614" width="16.85546875" style="51" customWidth="1"/>
    <col min="4615" max="4615" width="15.140625" style="51" customWidth="1"/>
    <col min="4616" max="4616" width="13.7109375" style="51" customWidth="1"/>
    <col min="4617" max="4617" width="17" style="51" customWidth="1"/>
    <col min="4618" max="4618" width="13.140625" style="51" bestFit="1" customWidth="1"/>
    <col min="4619" max="4619" width="7.85546875" style="51"/>
    <col min="4620" max="4620" width="14.28515625" style="51" bestFit="1" customWidth="1"/>
    <col min="4621" max="4621" width="16.42578125" style="51" bestFit="1" customWidth="1"/>
    <col min="4622" max="4864" width="7.85546875" style="51"/>
    <col min="4865" max="4865" width="29.28515625" style="51" customWidth="1"/>
    <col min="4866" max="4866" width="14.42578125" style="51" customWidth="1"/>
    <col min="4867" max="4867" width="16" style="51" customWidth="1"/>
    <col min="4868" max="4869" width="13.7109375" style="51" customWidth="1"/>
    <col min="4870" max="4870" width="16.85546875" style="51" customWidth="1"/>
    <col min="4871" max="4871" width="15.140625" style="51" customWidth="1"/>
    <col min="4872" max="4872" width="13.7109375" style="51" customWidth="1"/>
    <col min="4873" max="4873" width="17" style="51" customWidth="1"/>
    <col min="4874" max="4874" width="13.140625" style="51" bestFit="1" customWidth="1"/>
    <col min="4875" max="4875" width="7.85546875" style="51"/>
    <col min="4876" max="4876" width="14.28515625" style="51" bestFit="1" customWidth="1"/>
    <col min="4877" max="4877" width="16.42578125" style="51" bestFit="1" customWidth="1"/>
    <col min="4878" max="5120" width="7.85546875" style="51"/>
    <col min="5121" max="5121" width="29.28515625" style="51" customWidth="1"/>
    <col min="5122" max="5122" width="14.42578125" style="51" customWidth="1"/>
    <col min="5123" max="5123" width="16" style="51" customWidth="1"/>
    <col min="5124" max="5125" width="13.7109375" style="51" customWidth="1"/>
    <col min="5126" max="5126" width="16.85546875" style="51" customWidth="1"/>
    <col min="5127" max="5127" width="15.140625" style="51" customWidth="1"/>
    <col min="5128" max="5128" width="13.7109375" style="51" customWidth="1"/>
    <col min="5129" max="5129" width="17" style="51" customWidth="1"/>
    <col min="5130" max="5130" width="13.140625" style="51" bestFit="1" customWidth="1"/>
    <col min="5131" max="5131" width="7.85546875" style="51"/>
    <col min="5132" max="5132" width="14.28515625" style="51" bestFit="1" customWidth="1"/>
    <col min="5133" max="5133" width="16.42578125" style="51" bestFit="1" customWidth="1"/>
    <col min="5134" max="5376" width="7.85546875" style="51"/>
    <col min="5377" max="5377" width="29.28515625" style="51" customWidth="1"/>
    <col min="5378" max="5378" width="14.42578125" style="51" customWidth="1"/>
    <col min="5379" max="5379" width="16" style="51" customWidth="1"/>
    <col min="5380" max="5381" width="13.7109375" style="51" customWidth="1"/>
    <col min="5382" max="5382" width="16.85546875" style="51" customWidth="1"/>
    <col min="5383" max="5383" width="15.140625" style="51" customWidth="1"/>
    <col min="5384" max="5384" width="13.7109375" style="51" customWidth="1"/>
    <col min="5385" max="5385" width="17" style="51" customWidth="1"/>
    <col min="5386" max="5386" width="13.140625" style="51" bestFit="1" customWidth="1"/>
    <col min="5387" max="5387" width="7.85546875" style="51"/>
    <col min="5388" max="5388" width="14.28515625" style="51" bestFit="1" customWidth="1"/>
    <col min="5389" max="5389" width="16.42578125" style="51" bestFit="1" customWidth="1"/>
    <col min="5390" max="5632" width="7.85546875" style="51"/>
    <col min="5633" max="5633" width="29.28515625" style="51" customWidth="1"/>
    <col min="5634" max="5634" width="14.42578125" style="51" customWidth="1"/>
    <col min="5635" max="5635" width="16" style="51" customWidth="1"/>
    <col min="5636" max="5637" width="13.7109375" style="51" customWidth="1"/>
    <col min="5638" max="5638" width="16.85546875" style="51" customWidth="1"/>
    <col min="5639" max="5639" width="15.140625" style="51" customWidth="1"/>
    <col min="5640" max="5640" width="13.7109375" style="51" customWidth="1"/>
    <col min="5641" max="5641" width="17" style="51" customWidth="1"/>
    <col min="5642" max="5642" width="13.140625" style="51" bestFit="1" customWidth="1"/>
    <col min="5643" max="5643" width="7.85546875" style="51"/>
    <col min="5644" max="5644" width="14.28515625" style="51" bestFit="1" customWidth="1"/>
    <col min="5645" max="5645" width="16.42578125" style="51" bestFit="1" customWidth="1"/>
    <col min="5646" max="5888" width="7.85546875" style="51"/>
    <col min="5889" max="5889" width="29.28515625" style="51" customWidth="1"/>
    <col min="5890" max="5890" width="14.42578125" style="51" customWidth="1"/>
    <col min="5891" max="5891" width="16" style="51" customWidth="1"/>
    <col min="5892" max="5893" width="13.7109375" style="51" customWidth="1"/>
    <col min="5894" max="5894" width="16.85546875" style="51" customWidth="1"/>
    <col min="5895" max="5895" width="15.140625" style="51" customWidth="1"/>
    <col min="5896" max="5896" width="13.7109375" style="51" customWidth="1"/>
    <col min="5897" max="5897" width="17" style="51" customWidth="1"/>
    <col min="5898" max="5898" width="13.140625" style="51" bestFit="1" customWidth="1"/>
    <col min="5899" max="5899" width="7.85546875" style="51"/>
    <col min="5900" max="5900" width="14.28515625" style="51" bestFit="1" customWidth="1"/>
    <col min="5901" max="5901" width="16.42578125" style="51" bestFit="1" customWidth="1"/>
    <col min="5902" max="6144" width="7.85546875" style="51"/>
    <col min="6145" max="6145" width="29.28515625" style="51" customWidth="1"/>
    <col min="6146" max="6146" width="14.42578125" style="51" customWidth="1"/>
    <col min="6147" max="6147" width="16" style="51" customWidth="1"/>
    <col min="6148" max="6149" width="13.7109375" style="51" customWidth="1"/>
    <col min="6150" max="6150" width="16.85546875" style="51" customWidth="1"/>
    <col min="6151" max="6151" width="15.140625" style="51" customWidth="1"/>
    <col min="6152" max="6152" width="13.7109375" style="51" customWidth="1"/>
    <col min="6153" max="6153" width="17" style="51" customWidth="1"/>
    <col min="6154" max="6154" width="13.140625" style="51" bestFit="1" customWidth="1"/>
    <col min="6155" max="6155" width="7.85546875" style="51"/>
    <col min="6156" max="6156" width="14.28515625" style="51" bestFit="1" customWidth="1"/>
    <col min="6157" max="6157" width="16.42578125" style="51" bestFit="1" customWidth="1"/>
    <col min="6158" max="6400" width="7.85546875" style="51"/>
    <col min="6401" max="6401" width="29.28515625" style="51" customWidth="1"/>
    <col min="6402" max="6402" width="14.42578125" style="51" customWidth="1"/>
    <col min="6403" max="6403" width="16" style="51" customWidth="1"/>
    <col min="6404" max="6405" width="13.7109375" style="51" customWidth="1"/>
    <col min="6406" max="6406" width="16.85546875" style="51" customWidth="1"/>
    <col min="6407" max="6407" width="15.140625" style="51" customWidth="1"/>
    <col min="6408" max="6408" width="13.7109375" style="51" customWidth="1"/>
    <col min="6409" max="6409" width="17" style="51" customWidth="1"/>
    <col min="6410" max="6410" width="13.140625" style="51" bestFit="1" customWidth="1"/>
    <col min="6411" max="6411" width="7.85546875" style="51"/>
    <col min="6412" max="6412" width="14.28515625" style="51" bestFit="1" customWidth="1"/>
    <col min="6413" max="6413" width="16.42578125" style="51" bestFit="1" customWidth="1"/>
    <col min="6414" max="6656" width="7.85546875" style="51"/>
    <col min="6657" max="6657" width="29.28515625" style="51" customWidth="1"/>
    <col min="6658" max="6658" width="14.42578125" style="51" customWidth="1"/>
    <col min="6659" max="6659" width="16" style="51" customWidth="1"/>
    <col min="6660" max="6661" width="13.7109375" style="51" customWidth="1"/>
    <col min="6662" max="6662" width="16.85546875" style="51" customWidth="1"/>
    <col min="6663" max="6663" width="15.140625" style="51" customWidth="1"/>
    <col min="6664" max="6664" width="13.7109375" style="51" customWidth="1"/>
    <col min="6665" max="6665" width="17" style="51" customWidth="1"/>
    <col min="6666" max="6666" width="13.140625" style="51" bestFit="1" customWidth="1"/>
    <col min="6667" max="6667" width="7.85546875" style="51"/>
    <col min="6668" max="6668" width="14.28515625" style="51" bestFit="1" customWidth="1"/>
    <col min="6669" max="6669" width="16.42578125" style="51" bestFit="1" customWidth="1"/>
    <col min="6670" max="6912" width="7.85546875" style="51"/>
    <col min="6913" max="6913" width="29.28515625" style="51" customWidth="1"/>
    <col min="6914" max="6914" width="14.42578125" style="51" customWidth="1"/>
    <col min="6915" max="6915" width="16" style="51" customWidth="1"/>
    <col min="6916" max="6917" width="13.7109375" style="51" customWidth="1"/>
    <col min="6918" max="6918" width="16.85546875" style="51" customWidth="1"/>
    <col min="6919" max="6919" width="15.140625" style="51" customWidth="1"/>
    <col min="6920" max="6920" width="13.7109375" style="51" customWidth="1"/>
    <col min="6921" max="6921" width="17" style="51" customWidth="1"/>
    <col min="6922" max="6922" width="13.140625" style="51" bestFit="1" customWidth="1"/>
    <col min="6923" max="6923" width="7.85546875" style="51"/>
    <col min="6924" max="6924" width="14.28515625" style="51" bestFit="1" customWidth="1"/>
    <col min="6925" max="6925" width="16.42578125" style="51" bestFit="1" customWidth="1"/>
    <col min="6926" max="7168" width="7.85546875" style="51"/>
    <col min="7169" max="7169" width="29.28515625" style="51" customWidth="1"/>
    <col min="7170" max="7170" width="14.42578125" style="51" customWidth="1"/>
    <col min="7171" max="7171" width="16" style="51" customWidth="1"/>
    <col min="7172" max="7173" width="13.7109375" style="51" customWidth="1"/>
    <col min="7174" max="7174" width="16.85546875" style="51" customWidth="1"/>
    <col min="7175" max="7175" width="15.140625" style="51" customWidth="1"/>
    <col min="7176" max="7176" width="13.7109375" style="51" customWidth="1"/>
    <col min="7177" max="7177" width="17" style="51" customWidth="1"/>
    <col min="7178" max="7178" width="13.140625" style="51" bestFit="1" customWidth="1"/>
    <col min="7179" max="7179" width="7.85546875" style="51"/>
    <col min="7180" max="7180" width="14.28515625" style="51" bestFit="1" customWidth="1"/>
    <col min="7181" max="7181" width="16.42578125" style="51" bestFit="1" customWidth="1"/>
    <col min="7182" max="7424" width="7.85546875" style="51"/>
    <col min="7425" max="7425" width="29.28515625" style="51" customWidth="1"/>
    <col min="7426" max="7426" width="14.42578125" style="51" customWidth="1"/>
    <col min="7427" max="7427" width="16" style="51" customWidth="1"/>
    <col min="7428" max="7429" width="13.7109375" style="51" customWidth="1"/>
    <col min="7430" max="7430" width="16.85546875" style="51" customWidth="1"/>
    <col min="7431" max="7431" width="15.140625" style="51" customWidth="1"/>
    <col min="7432" max="7432" width="13.7109375" style="51" customWidth="1"/>
    <col min="7433" max="7433" width="17" style="51" customWidth="1"/>
    <col min="7434" max="7434" width="13.140625" style="51" bestFit="1" customWidth="1"/>
    <col min="7435" max="7435" width="7.85546875" style="51"/>
    <col min="7436" max="7436" width="14.28515625" style="51" bestFit="1" customWidth="1"/>
    <col min="7437" max="7437" width="16.42578125" style="51" bestFit="1" customWidth="1"/>
    <col min="7438" max="7680" width="7.85546875" style="51"/>
    <col min="7681" max="7681" width="29.28515625" style="51" customWidth="1"/>
    <col min="7682" max="7682" width="14.42578125" style="51" customWidth="1"/>
    <col min="7683" max="7683" width="16" style="51" customWidth="1"/>
    <col min="7684" max="7685" width="13.7109375" style="51" customWidth="1"/>
    <col min="7686" max="7686" width="16.85546875" style="51" customWidth="1"/>
    <col min="7687" max="7687" width="15.140625" style="51" customWidth="1"/>
    <col min="7688" max="7688" width="13.7109375" style="51" customWidth="1"/>
    <col min="7689" max="7689" width="17" style="51" customWidth="1"/>
    <col min="7690" max="7690" width="13.140625" style="51" bestFit="1" customWidth="1"/>
    <col min="7691" max="7691" width="7.85546875" style="51"/>
    <col min="7692" max="7692" width="14.28515625" style="51" bestFit="1" customWidth="1"/>
    <col min="7693" max="7693" width="16.42578125" style="51" bestFit="1" customWidth="1"/>
    <col min="7694" max="7936" width="7.85546875" style="51"/>
    <col min="7937" max="7937" width="29.28515625" style="51" customWidth="1"/>
    <col min="7938" max="7938" width="14.42578125" style="51" customWidth="1"/>
    <col min="7939" max="7939" width="16" style="51" customWidth="1"/>
    <col min="7940" max="7941" width="13.7109375" style="51" customWidth="1"/>
    <col min="7942" max="7942" width="16.85546875" style="51" customWidth="1"/>
    <col min="7943" max="7943" width="15.140625" style="51" customWidth="1"/>
    <col min="7944" max="7944" width="13.7109375" style="51" customWidth="1"/>
    <col min="7945" max="7945" width="17" style="51" customWidth="1"/>
    <col min="7946" max="7946" width="13.140625" style="51" bestFit="1" customWidth="1"/>
    <col min="7947" max="7947" width="7.85546875" style="51"/>
    <col min="7948" max="7948" width="14.28515625" style="51" bestFit="1" customWidth="1"/>
    <col min="7949" max="7949" width="16.42578125" style="51" bestFit="1" customWidth="1"/>
    <col min="7950" max="8192" width="7.85546875" style="51"/>
    <col min="8193" max="8193" width="29.28515625" style="51" customWidth="1"/>
    <col min="8194" max="8194" width="14.42578125" style="51" customWidth="1"/>
    <col min="8195" max="8195" width="16" style="51" customWidth="1"/>
    <col min="8196" max="8197" width="13.7109375" style="51" customWidth="1"/>
    <col min="8198" max="8198" width="16.85546875" style="51" customWidth="1"/>
    <col min="8199" max="8199" width="15.140625" style="51" customWidth="1"/>
    <col min="8200" max="8200" width="13.7109375" style="51" customWidth="1"/>
    <col min="8201" max="8201" width="17" style="51" customWidth="1"/>
    <col min="8202" max="8202" width="13.140625" style="51" bestFit="1" customWidth="1"/>
    <col min="8203" max="8203" width="7.85546875" style="51"/>
    <col min="8204" max="8204" width="14.28515625" style="51" bestFit="1" customWidth="1"/>
    <col min="8205" max="8205" width="16.42578125" style="51" bestFit="1" customWidth="1"/>
    <col min="8206" max="8448" width="7.85546875" style="51"/>
    <col min="8449" max="8449" width="29.28515625" style="51" customWidth="1"/>
    <col min="8450" max="8450" width="14.42578125" style="51" customWidth="1"/>
    <col min="8451" max="8451" width="16" style="51" customWidth="1"/>
    <col min="8452" max="8453" width="13.7109375" style="51" customWidth="1"/>
    <col min="8454" max="8454" width="16.85546875" style="51" customWidth="1"/>
    <col min="8455" max="8455" width="15.140625" style="51" customWidth="1"/>
    <col min="8456" max="8456" width="13.7109375" style="51" customWidth="1"/>
    <col min="8457" max="8457" width="17" style="51" customWidth="1"/>
    <col min="8458" max="8458" width="13.140625" style="51" bestFit="1" customWidth="1"/>
    <col min="8459" max="8459" width="7.85546875" style="51"/>
    <col min="8460" max="8460" width="14.28515625" style="51" bestFit="1" customWidth="1"/>
    <col min="8461" max="8461" width="16.42578125" style="51" bestFit="1" customWidth="1"/>
    <col min="8462" max="8704" width="7.85546875" style="51"/>
    <col min="8705" max="8705" width="29.28515625" style="51" customWidth="1"/>
    <col min="8706" max="8706" width="14.42578125" style="51" customWidth="1"/>
    <col min="8707" max="8707" width="16" style="51" customWidth="1"/>
    <col min="8708" max="8709" width="13.7109375" style="51" customWidth="1"/>
    <col min="8710" max="8710" width="16.85546875" style="51" customWidth="1"/>
    <col min="8711" max="8711" width="15.140625" style="51" customWidth="1"/>
    <col min="8712" max="8712" width="13.7109375" style="51" customWidth="1"/>
    <col min="8713" max="8713" width="17" style="51" customWidth="1"/>
    <col min="8714" max="8714" width="13.140625" style="51" bestFit="1" customWidth="1"/>
    <col min="8715" max="8715" width="7.85546875" style="51"/>
    <col min="8716" max="8716" width="14.28515625" style="51" bestFit="1" customWidth="1"/>
    <col min="8717" max="8717" width="16.42578125" style="51" bestFit="1" customWidth="1"/>
    <col min="8718" max="8960" width="7.85546875" style="51"/>
    <col min="8961" max="8961" width="29.28515625" style="51" customWidth="1"/>
    <col min="8962" max="8962" width="14.42578125" style="51" customWidth="1"/>
    <col min="8963" max="8963" width="16" style="51" customWidth="1"/>
    <col min="8964" max="8965" width="13.7109375" style="51" customWidth="1"/>
    <col min="8966" max="8966" width="16.85546875" style="51" customWidth="1"/>
    <col min="8967" max="8967" width="15.140625" style="51" customWidth="1"/>
    <col min="8968" max="8968" width="13.7109375" style="51" customWidth="1"/>
    <col min="8969" max="8969" width="17" style="51" customWidth="1"/>
    <col min="8970" max="8970" width="13.140625" style="51" bestFit="1" customWidth="1"/>
    <col min="8971" max="8971" width="7.85546875" style="51"/>
    <col min="8972" max="8972" width="14.28515625" style="51" bestFit="1" customWidth="1"/>
    <col min="8973" max="8973" width="16.42578125" style="51" bestFit="1" customWidth="1"/>
    <col min="8974" max="9216" width="7.85546875" style="51"/>
    <col min="9217" max="9217" width="29.28515625" style="51" customWidth="1"/>
    <col min="9218" max="9218" width="14.42578125" style="51" customWidth="1"/>
    <col min="9219" max="9219" width="16" style="51" customWidth="1"/>
    <col min="9220" max="9221" width="13.7109375" style="51" customWidth="1"/>
    <col min="9222" max="9222" width="16.85546875" style="51" customWidth="1"/>
    <col min="9223" max="9223" width="15.140625" style="51" customWidth="1"/>
    <col min="9224" max="9224" width="13.7109375" style="51" customWidth="1"/>
    <col min="9225" max="9225" width="17" style="51" customWidth="1"/>
    <col min="9226" max="9226" width="13.140625" style="51" bestFit="1" customWidth="1"/>
    <col min="9227" max="9227" width="7.85546875" style="51"/>
    <col min="9228" max="9228" width="14.28515625" style="51" bestFit="1" customWidth="1"/>
    <col min="9229" max="9229" width="16.42578125" style="51" bestFit="1" customWidth="1"/>
    <col min="9230" max="9472" width="7.85546875" style="51"/>
    <col min="9473" max="9473" width="29.28515625" style="51" customWidth="1"/>
    <col min="9474" max="9474" width="14.42578125" style="51" customWidth="1"/>
    <col min="9475" max="9475" width="16" style="51" customWidth="1"/>
    <col min="9476" max="9477" width="13.7109375" style="51" customWidth="1"/>
    <col min="9478" max="9478" width="16.85546875" style="51" customWidth="1"/>
    <col min="9479" max="9479" width="15.140625" style="51" customWidth="1"/>
    <col min="9480" max="9480" width="13.7109375" style="51" customWidth="1"/>
    <col min="9481" max="9481" width="17" style="51" customWidth="1"/>
    <col min="9482" max="9482" width="13.140625" style="51" bestFit="1" customWidth="1"/>
    <col min="9483" max="9483" width="7.85546875" style="51"/>
    <col min="9484" max="9484" width="14.28515625" style="51" bestFit="1" customWidth="1"/>
    <col min="9485" max="9485" width="16.42578125" style="51" bestFit="1" customWidth="1"/>
    <col min="9486" max="9728" width="7.85546875" style="51"/>
    <col min="9729" max="9729" width="29.28515625" style="51" customWidth="1"/>
    <col min="9730" max="9730" width="14.42578125" style="51" customWidth="1"/>
    <col min="9731" max="9731" width="16" style="51" customWidth="1"/>
    <col min="9732" max="9733" width="13.7109375" style="51" customWidth="1"/>
    <col min="9734" max="9734" width="16.85546875" style="51" customWidth="1"/>
    <col min="9735" max="9735" width="15.140625" style="51" customWidth="1"/>
    <col min="9736" max="9736" width="13.7109375" style="51" customWidth="1"/>
    <col min="9737" max="9737" width="17" style="51" customWidth="1"/>
    <col min="9738" max="9738" width="13.140625" style="51" bestFit="1" customWidth="1"/>
    <col min="9739" max="9739" width="7.85546875" style="51"/>
    <col min="9740" max="9740" width="14.28515625" style="51" bestFit="1" customWidth="1"/>
    <col min="9741" max="9741" width="16.42578125" style="51" bestFit="1" customWidth="1"/>
    <col min="9742" max="9984" width="7.85546875" style="51"/>
    <col min="9985" max="9985" width="29.28515625" style="51" customWidth="1"/>
    <col min="9986" max="9986" width="14.42578125" style="51" customWidth="1"/>
    <col min="9987" max="9987" width="16" style="51" customWidth="1"/>
    <col min="9988" max="9989" width="13.7109375" style="51" customWidth="1"/>
    <col min="9990" max="9990" width="16.85546875" style="51" customWidth="1"/>
    <col min="9991" max="9991" width="15.140625" style="51" customWidth="1"/>
    <col min="9992" max="9992" width="13.7109375" style="51" customWidth="1"/>
    <col min="9993" max="9993" width="17" style="51" customWidth="1"/>
    <col min="9994" max="9994" width="13.140625" style="51" bestFit="1" customWidth="1"/>
    <col min="9995" max="9995" width="7.85546875" style="51"/>
    <col min="9996" max="9996" width="14.28515625" style="51" bestFit="1" customWidth="1"/>
    <col min="9997" max="9997" width="16.42578125" style="51" bestFit="1" customWidth="1"/>
    <col min="9998" max="10240" width="7.85546875" style="51"/>
    <col min="10241" max="10241" width="29.28515625" style="51" customWidth="1"/>
    <col min="10242" max="10242" width="14.42578125" style="51" customWidth="1"/>
    <col min="10243" max="10243" width="16" style="51" customWidth="1"/>
    <col min="10244" max="10245" width="13.7109375" style="51" customWidth="1"/>
    <col min="10246" max="10246" width="16.85546875" style="51" customWidth="1"/>
    <col min="10247" max="10247" width="15.140625" style="51" customWidth="1"/>
    <col min="10248" max="10248" width="13.7109375" style="51" customWidth="1"/>
    <col min="10249" max="10249" width="17" style="51" customWidth="1"/>
    <col min="10250" max="10250" width="13.140625" style="51" bestFit="1" customWidth="1"/>
    <col min="10251" max="10251" width="7.85546875" style="51"/>
    <col min="10252" max="10252" width="14.28515625" style="51" bestFit="1" customWidth="1"/>
    <col min="10253" max="10253" width="16.42578125" style="51" bestFit="1" customWidth="1"/>
    <col min="10254" max="10496" width="7.85546875" style="51"/>
    <col min="10497" max="10497" width="29.28515625" style="51" customWidth="1"/>
    <col min="10498" max="10498" width="14.42578125" style="51" customWidth="1"/>
    <col min="10499" max="10499" width="16" style="51" customWidth="1"/>
    <col min="10500" max="10501" width="13.7109375" style="51" customWidth="1"/>
    <col min="10502" max="10502" width="16.85546875" style="51" customWidth="1"/>
    <col min="10503" max="10503" width="15.140625" style="51" customWidth="1"/>
    <col min="10504" max="10504" width="13.7109375" style="51" customWidth="1"/>
    <col min="10505" max="10505" width="17" style="51" customWidth="1"/>
    <col min="10506" max="10506" width="13.140625" style="51" bestFit="1" customWidth="1"/>
    <col min="10507" max="10507" width="7.85546875" style="51"/>
    <col min="10508" max="10508" width="14.28515625" style="51" bestFit="1" customWidth="1"/>
    <col min="10509" max="10509" width="16.42578125" style="51" bestFit="1" customWidth="1"/>
    <col min="10510" max="10752" width="7.85546875" style="51"/>
    <col min="10753" max="10753" width="29.28515625" style="51" customWidth="1"/>
    <col min="10754" max="10754" width="14.42578125" style="51" customWidth="1"/>
    <col min="10755" max="10755" width="16" style="51" customWidth="1"/>
    <col min="10756" max="10757" width="13.7109375" style="51" customWidth="1"/>
    <col min="10758" max="10758" width="16.85546875" style="51" customWidth="1"/>
    <col min="10759" max="10759" width="15.140625" style="51" customWidth="1"/>
    <col min="10760" max="10760" width="13.7109375" style="51" customWidth="1"/>
    <col min="10761" max="10761" width="17" style="51" customWidth="1"/>
    <col min="10762" max="10762" width="13.140625" style="51" bestFit="1" customWidth="1"/>
    <col min="10763" max="10763" width="7.85546875" style="51"/>
    <col min="10764" max="10764" width="14.28515625" style="51" bestFit="1" customWidth="1"/>
    <col min="10765" max="10765" width="16.42578125" style="51" bestFit="1" customWidth="1"/>
    <col min="10766" max="11008" width="7.85546875" style="51"/>
    <col min="11009" max="11009" width="29.28515625" style="51" customWidth="1"/>
    <col min="11010" max="11010" width="14.42578125" style="51" customWidth="1"/>
    <col min="11011" max="11011" width="16" style="51" customWidth="1"/>
    <col min="11012" max="11013" width="13.7109375" style="51" customWidth="1"/>
    <col min="11014" max="11014" width="16.85546875" style="51" customWidth="1"/>
    <col min="11015" max="11015" width="15.140625" style="51" customWidth="1"/>
    <col min="11016" max="11016" width="13.7109375" style="51" customWidth="1"/>
    <col min="11017" max="11017" width="17" style="51" customWidth="1"/>
    <col min="11018" max="11018" width="13.140625" style="51" bestFit="1" customWidth="1"/>
    <col min="11019" max="11019" width="7.85546875" style="51"/>
    <col min="11020" max="11020" width="14.28515625" style="51" bestFit="1" customWidth="1"/>
    <col min="11021" max="11021" width="16.42578125" style="51" bestFit="1" customWidth="1"/>
    <col min="11022" max="11264" width="7.85546875" style="51"/>
    <col min="11265" max="11265" width="29.28515625" style="51" customWidth="1"/>
    <col min="11266" max="11266" width="14.42578125" style="51" customWidth="1"/>
    <col min="11267" max="11267" width="16" style="51" customWidth="1"/>
    <col min="11268" max="11269" width="13.7109375" style="51" customWidth="1"/>
    <col min="11270" max="11270" width="16.85546875" style="51" customWidth="1"/>
    <col min="11271" max="11271" width="15.140625" style="51" customWidth="1"/>
    <col min="11272" max="11272" width="13.7109375" style="51" customWidth="1"/>
    <col min="11273" max="11273" width="17" style="51" customWidth="1"/>
    <col min="11274" max="11274" width="13.140625" style="51" bestFit="1" customWidth="1"/>
    <col min="11275" max="11275" width="7.85546875" style="51"/>
    <col min="11276" max="11276" width="14.28515625" style="51" bestFit="1" customWidth="1"/>
    <col min="11277" max="11277" width="16.42578125" style="51" bestFit="1" customWidth="1"/>
    <col min="11278" max="11520" width="7.85546875" style="51"/>
    <col min="11521" max="11521" width="29.28515625" style="51" customWidth="1"/>
    <col min="11522" max="11522" width="14.42578125" style="51" customWidth="1"/>
    <col min="11523" max="11523" width="16" style="51" customWidth="1"/>
    <col min="11524" max="11525" width="13.7109375" style="51" customWidth="1"/>
    <col min="11526" max="11526" width="16.85546875" style="51" customWidth="1"/>
    <col min="11527" max="11527" width="15.140625" style="51" customWidth="1"/>
    <col min="11528" max="11528" width="13.7109375" style="51" customWidth="1"/>
    <col min="11529" max="11529" width="17" style="51" customWidth="1"/>
    <col min="11530" max="11530" width="13.140625" style="51" bestFit="1" customWidth="1"/>
    <col min="11531" max="11531" width="7.85546875" style="51"/>
    <col min="11532" max="11532" width="14.28515625" style="51" bestFit="1" customWidth="1"/>
    <col min="11533" max="11533" width="16.42578125" style="51" bestFit="1" customWidth="1"/>
    <col min="11534" max="11776" width="7.85546875" style="51"/>
    <col min="11777" max="11777" width="29.28515625" style="51" customWidth="1"/>
    <col min="11778" max="11778" width="14.42578125" style="51" customWidth="1"/>
    <col min="11779" max="11779" width="16" style="51" customWidth="1"/>
    <col min="11780" max="11781" width="13.7109375" style="51" customWidth="1"/>
    <col min="11782" max="11782" width="16.85546875" style="51" customWidth="1"/>
    <col min="11783" max="11783" width="15.140625" style="51" customWidth="1"/>
    <col min="11784" max="11784" width="13.7109375" style="51" customWidth="1"/>
    <col min="11785" max="11785" width="17" style="51" customWidth="1"/>
    <col min="11786" max="11786" width="13.140625" style="51" bestFit="1" customWidth="1"/>
    <col min="11787" max="11787" width="7.85546875" style="51"/>
    <col min="11788" max="11788" width="14.28515625" style="51" bestFit="1" customWidth="1"/>
    <col min="11789" max="11789" width="16.42578125" style="51" bestFit="1" customWidth="1"/>
    <col min="11790" max="12032" width="7.85546875" style="51"/>
    <col min="12033" max="12033" width="29.28515625" style="51" customWidth="1"/>
    <col min="12034" max="12034" width="14.42578125" style="51" customWidth="1"/>
    <col min="12035" max="12035" width="16" style="51" customWidth="1"/>
    <col min="12036" max="12037" width="13.7109375" style="51" customWidth="1"/>
    <col min="12038" max="12038" width="16.85546875" style="51" customWidth="1"/>
    <col min="12039" max="12039" width="15.140625" style="51" customWidth="1"/>
    <col min="12040" max="12040" width="13.7109375" style="51" customWidth="1"/>
    <col min="12041" max="12041" width="17" style="51" customWidth="1"/>
    <col min="12042" max="12042" width="13.140625" style="51" bestFit="1" customWidth="1"/>
    <col min="12043" max="12043" width="7.85546875" style="51"/>
    <col min="12044" max="12044" width="14.28515625" style="51" bestFit="1" customWidth="1"/>
    <col min="12045" max="12045" width="16.42578125" style="51" bestFit="1" customWidth="1"/>
    <col min="12046" max="12288" width="7.85546875" style="51"/>
    <col min="12289" max="12289" width="29.28515625" style="51" customWidth="1"/>
    <col min="12290" max="12290" width="14.42578125" style="51" customWidth="1"/>
    <col min="12291" max="12291" width="16" style="51" customWidth="1"/>
    <col min="12292" max="12293" width="13.7109375" style="51" customWidth="1"/>
    <col min="12294" max="12294" width="16.85546875" style="51" customWidth="1"/>
    <col min="12295" max="12295" width="15.140625" style="51" customWidth="1"/>
    <col min="12296" max="12296" width="13.7109375" style="51" customWidth="1"/>
    <col min="12297" max="12297" width="17" style="51" customWidth="1"/>
    <col min="12298" max="12298" width="13.140625" style="51" bestFit="1" customWidth="1"/>
    <col min="12299" max="12299" width="7.85546875" style="51"/>
    <col min="12300" max="12300" width="14.28515625" style="51" bestFit="1" customWidth="1"/>
    <col min="12301" max="12301" width="16.42578125" style="51" bestFit="1" customWidth="1"/>
    <col min="12302" max="12544" width="7.85546875" style="51"/>
    <col min="12545" max="12545" width="29.28515625" style="51" customWidth="1"/>
    <col min="12546" max="12546" width="14.42578125" style="51" customWidth="1"/>
    <col min="12547" max="12547" width="16" style="51" customWidth="1"/>
    <col min="12548" max="12549" width="13.7109375" style="51" customWidth="1"/>
    <col min="12550" max="12550" width="16.85546875" style="51" customWidth="1"/>
    <col min="12551" max="12551" width="15.140625" style="51" customWidth="1"/>
    <col min="12552" max="12552" width="13.7109375" style="51" customWidth="1"/>
    <col min="12553" max="12553" width="17" style="51" customWidth="1"/>
    <col min="12554" max="12554" width="13.140625" style="51" bestFit="1" customWidth="1"/>
    <col min="12555" max="12555" width="7.85546875" style="51"/>
    <col min="12556" max="12556" width="14.28515625" style="51" bestFit="1" customWidth="1"/>
    <col min="12557" max="12557" width="16.42578125" style="51" bestFit="1" customWidth="1"/>
    <col min="12558" max="12800" width="7.85546875" style="51"/>
    <col min="12801" max="12801" width="29.28515625" style="51" customWidth="1"/>
    <col min="12802" max="12802" width="14.42578125" style="51" customWidth="1"/>
    <col min="12803" max="12803" width="16" style="51" customWidth="1"/>
    <col min="12804" max="12805" width="13.7109375" style="51" customWidth="1"/>
    <col min="12806" max="12806" width="16.85546875" style="51" customWidth="1"/>
    <col min="12807" max="12807" width="15.140625" style="51" customWidth="1"/>
    <col min="12808" max="12808" width="13.7109375" style="51" customWidth="1"/>
    <col min="12809" max="12809" width="17" style="51" customWidth="1"/>
    <col min="12810" max="12810" width="13.140625" style="51" bestFit="1" customWidth="1"/>
    <col min="12811" max="12811" width="7.85546875" style="51"/>
    <col min="12812" max="12812" width="14.28515625" style="51" bestFit="1" customWidth="1"/>
    <col min="12813" max="12813" width="16.42578125" style="51" bestFit="1" customWidth="1"/>
    <col min="12814" max="13056" width="7.85546875" style="51"/>
    <col min="13057" max="13057" width="29.28515625" style="51" customWidth="1"/>
    <col min="13058" max="13058" width="14.42578125" style="51" customWidth="1"/>
    <col min="13059" max="13059" width="16" style="51" customWidth="1"/>
    <col min="13060" max="13061" width="13.7109375" style="51" customWidth="1"/>
    <col min="13062" max="13062" width="16.85546875" style="51" customWidth="1"/>
    <col min="13063" max="13063" width="15.140625" style="51" customWidth="1"/>
    <col min="13064" max="13064" width="13.7109375" style="51" customWidth="1"/>
    <col min="13065" max="13065" width="17" style="51" customWidth="1"/>
    <col min="13066" max="13066" width="13.140625" style="51" bestFit="1" customWidth="1"/>
    <col min="13067" max="13067" width="7.85546875" style="51"/>
    <col min="13068" max="13068" width="14.28515625" style="51" bestFit="1" customWidth="1"/>
    <col min="13069" max="13069" width="16.42578125" style="51" bestFit="1" customWidth="1"/>
    <col min="13070" max="13312" width="7.85546875" style="51"/>
    <col min="13313" max="13313" width="29.28515625" style="51" customWidth="1"/>
    <col min="13314" max="13314" width="14.42578125" style="51" customWidth="1"/>
    <col min="13315" max="13315" width="16" style="51" customWidth="1"/>
    <col min="13316" max="13317" width="13.7109375" style="51" customWidth="1"/>
    <col min="13318" max="13318" width="16.85546875" style="51" customWidth="1"/>
    <col min="13319" max="13319" width="15.140625" style="51" customWidth="1"/>
    <col min="13320" max="13320" width="13.7109375" style="51" customWidth="1"/>
    <col min="13321" max="13321" width="17" style="51" customWidth="1"/>
    <col min="13322" max="13322" width="13.140625" style="51" bestFit="1" customWidth="1"/>
    <col min="13323" max="13323" width="7.85546875" style="51"/>
    <col min="13324" max="13324" width="14.28515625" style="51" bestFit="1" customWidth="1"/>
    <col min="13325" max="13325" width="16.42578125" style="51" bestFit="1" customWidth="1"/>
    <col min="13326" max="13568" width="7.85546875" style="51"/>
    <col min="13569" max="13569" width="29.28515625" style="51" customWidth="1"/>
    <col min="13570" max="13570" width="14.42578125" style="51" customWidth="1"/>
    <col min="13571" max="13571" width="16" style="51" customWidth="1"/>
    <col min="13572" max="13573" width="13.7109375" style="51" customWidth="1"/>
    <col min="13574" max="13574" width="16.85546875" style="51" customWidth="1"/>
    <col min="13575" max="13575" width="15.140625" style="51" customWidth="1"/>
    <col min="13576" max="13576" width="13.7109375" style="51" customWidth="1"/>
    <col min="13577" max="13577" width="17" style="51" customWidth="1"/>
    <col min="13578" max="13578" width="13.140625" style="51" bestFit="1" customWidth="1"/>
    <col min="13579" max="13579" width="7.85546875" style="51"/>
    <col min="13580" max="13580" width="14.28515625" style="51" bestFit="1" customWidth="1"/>
    <col min="13581" max="13581" width="16.42578125" style="51" bestFit="1" customWidth="1"/>
    <col min="13582" max="13824" width="7.85546875" style="51"/>
    <col min="13825" max="13825" width="29.28515625" style="51" customWidth="1"/>
    <col min="13826" max="13826" width="14.42578125" style="51" customWidth="1"/>
    <col min="13827" max="13827" width="16" style="51" customWidth="1"/>
    <col min="13828" max="13829" width="13.7109375" style="51" customWidth="1"/>
    <col min="13830" max="13830" width="16.85546875" style="51" customWidth="1"/>
    <col min="13831" max="13831" width="15.140625" style="51" customWidth="1"/>
    <col min="13832" max="13832" width="13.7109375" style="51" customWidth="1"/>
    <col min="13833" max="13833" width="17" style="51" customWidth="1"/>
    <col min="13834" max="13834" width="13.140625" style="51" bestFit="1" customWidth="1"/>
    <col min="13835" max="13835" width="7.85546875" style="51"/>
    <col min="13836" max="13836" width="14.28515625" style="51" bestFit="1" customWidth="1"/>
    <col min="13837" max="13837" width="16.42578125" style="51" bestFit="1" customWidth="1"/>
    <col min="13838" max="14080" width="7.85546875" style="51"/>
    <col min="14081" max="14081" width="29.28515625" style="51" customWidth="1"/>
    <col min="14082" max="14082" width="14.42578125" style="51" customWidth="1"/>
    <col min="14083" max="14083" width="16" style="51" customWidth="1"/>
    <col min="14084" max="14085" width="13.7109375" style="51" customWidth="1"/>
    <col min="14086" max="14086" width="16.85546875" style="51" customWidth="1"/>
    <col min="14087" max="14087" width="15.140625" style="51" customWidth="1"/>
    <col min="14088" max="14088" width="13.7109375" style="51" customWidth="1"/>
    <col min="14089" max="14089" width="17" style="51" customWidth="1"/>
    <col min="14090" max="14090" width="13.140625" style="51" bestFit="1" customWidth="1"/>
    <col min="14091" max="14091" width="7.85546875" style="51"/>
    <col min="14092" max="14092" width="14.28515625" style="51" bestFit="1" customWidth="1"/>
    <col min="14093" max="14093" width="16.42578125" style="51" bestFit="1" customWidth="1"/>
    <col min="14094" max="14336" width="7.85546875" style="51"/>
    <col min="14337" max="14337" width="29.28515625" style="51" customWidth="1"/>
    <col min="14338" max="14338" width="14.42578125" style="51" customWidth="1"/>
    <col min="14339" max="14339" width="16" style="51" customWidth="1"/>
    <col min="14340" max="14341" width="13.7109375" style="51" customWidth="1"/>
    <col min="14342" max="14342" width="16.85546875" style="51" customWidth="1"/>
    <col min="14343" max="14343" width="15.140625" style="51" customWidth="1"/>
    <col min="14344" max="14344" width="13.7109375" style="51" customWidth="1"/>
    <col min="14345" max="14345" width="17" style="51" customWidth="1"/>
    <col min="14346" max="14346" width="13.140625" style="51" bestFit="1" customWidth="1"/>
    <col min="14347" max="14347" width="7.85546875" style="51"/>
    <col min="14348" max="14348" width="14.28515625" style="51" bestFit="1" customWidth="1"/>
    <col min="14349" max="14349" width="16.42578125" style="51" bestFit="1" customWidth="1"/>
    <col min="14350" max="14592" width="7.85546875" style="51"/>
    <col min="14593" max="14593" width="29.28515625" style="51" customWidth="1"/>
    <col min="14594" max="14594" width="14.42578125" style="51" customWidth="1"/>
    <col min="14595" max="14595" width="16" style="51" customWidth="1"/>
    <col min="14596" max="14597" width="13.7109375" style="51" customWidth="1"/>
    <col min="14598" max="14598" width="16.85546875" style="51" customWidth="1"/>
    <col min="14599" max="14599" width="15.140625" style="51" customWidth="1"/>
    <col min="14600" max="14600" width="13.7109375" style="51" customWidth="1"/>
    <col min="14601" max="14601" width="17" style="51" customWidth="1"/>
    <col min="14602" max="14602" width="13.140625" style="51" bestFit="1" customWidth="1"/>
    <col min="14603" max="14603" width="7.85546875" style="51"/>
    <col min="14604" max="14604" width="14.28515625" style="51" bestFit="1" customWidth="1"/>
    <col min="14605" max="14605" width="16.42578125" style="51" bestFit="1" customWidth="1"/>
    <col min="14606" max="14848" width="7.85546875" style="51"/>
    <col min="14849" max="14849" width="29.28515625" style="51" customWidth="1"/>
    <col min="14850" max="14850" width="14.42578125" style="51" customWidth="1"/>
    <col min="14851" max="14851" width="16" style="51" customWidth="1"/>
    <col min="14852" max="14853" width="13.7109375" style="51" customWidth="1"/>
    <col min="14854" max="14854" width="16.85546875" style="51" customWidth="1"/>
    <col min="14855" max="14855" width="15.140625" style="51" customWidth="1"/>
    <col min="14856" max="14856" width="13.7109375" style="51" customWidth="1"/>
    <col min="14857" max="14857" width="17" style="51" customWidth="1"/>
    <col min="14858" max="14858" width="13.140625" style="51" bestFit="1" customWidth="1"/>
    <col min="14859" max="14859" width="7.85546875" style="51"/>
    <col min="14860" max="14860" width="14.28515625" style="51" bestFit="1" customWidth="1"/>
    <col min="14861" max="14861" width="16.42578125" style="51" bestFit="1" customWidth="1"/>
    <col min="14862" max="15104" width="7.85546875" style="51"/>
    <col min="15105" max="15105" width="29.28515625" style="51" customWidth="1"/>
    <col min="15106" max="15106" width="14.42578125" style="51" customWidth="1"/>
    <col min="15107" max="15107" width="16" style="51" customWidth="1"/>
    <col min="15108" max="15109" width="13.7109375" style="51" customWidth="1"/>
    <col min="15110" max="15110" width="16.85546875" style="51" customWidth="1"/>
    <col min="15111" max="15111" width="15.140625" style="51" customWidth="1"/>
    <col min="15112" max="15112" width="13.7109375" style="51" customWidth="1"/>
    <col min="15113" max="15113" width="17" style="51" customWidth="1"/>
    <col min="15114" max="15114" width="13.140625" style="51" bestFit="1" customWidth="1"/>
    <col min="15115" max="15115" width="7.85546875" style="51"/>
    <col min="15116" max="15116" width="14.28515625" style="51" bestFit="1" customWidth="1"/>
    <col min="15117" max="15117" width="16.42578125" style="51" bestFit="1" customWidth="1"/>
    <col min="15118" max="15360" width="7.85546875" style="51"/>
    <col min="15361" max="15361" width="29.28515625" style="51" customWidth="1"/>
    <col min="15362" max="15362" width="14.42578125" style="51" customWidth="1"/>
    <col min="15363" max="15363" width="16" style="51" customWidth="1"/>
    <col min="15364" max="15365" width="13.7109375" style="51" customWidth="1"/>
    <col min="15366" max="15366" width="16.85546875" style="51" customWidth="1"/>
    <col min="15367" max="15367" width="15.140625" style="51" customWidth="1"/>
    <col min="15368" max="15368" width="13.7109375" style="51" customWidth="1"/>
    <col min="15369" max="15369" width="17" style="51" customWidth="1"/>
    <col min="15370" max="15370" width="13.140625" style="51" bestFit="1" customWidth="1"/>
    <col min="15371" max="15371" width="7.85546875" style="51"/>
    <col min="15372" max="15372" width="14.28515625" style="51" bestFit="1" customWidth="1"/>
    <col min="15373" max="15373" width="16.42578125" style="51" bestFit="1" customWidth="1"/>
    <col min="15374" max="15616" width="7.85546875" style="51"/>
    <col min="15617" max="15617" width="29.28515625" style="51" customWidth="1"/>
    <col min="15618" max="15618" width="14.42578125" style="51" customWidth="1"/>
    <col min="15619" max="15619" width="16" style="51" customWidth="1"/>
    <col min="15620" max="15621" width="13.7109375" style="51" customWidth="1"/>
    <col min="15622" max="15622" width="16.85546875" style="51" customWidth="1"/>
    <col min="15623" max="15623" width="15.140625" style="51" customWidth="1"/>
    <col min="15624" max="15624" width="13.7109375" style="51" customWidth="1"/>
    <col min="15625" max="15625" width="17" style="51" customWidth="1"/>
    <col min="15626" max="15626" width="13.140625" style="51" bestFit="1" customWidth="1"/>
    <col min="15627" max="15627" width="7.85546875" style="51"/>
    <col min="15628" max="15628" width="14.28515625" style="51" bestFit="1" customWidth="1"/>
    <col min="15629" max="15629" width="16.42578125" style="51" bestFit="1" customWidth="1"/>
    <col min="15630" max="15872" width="7.85546875" style="51"/>
    <col min="15873" max="15873" width="29.28515625" style="51" customWidth="1"/>
    <col min="15874" max="15874" width="14.42578125" style="51" customWidth="1"/>
    <col min="15875" max="15875" width="16" style="51" customWidth="1"/>
    <col min="15876" max="15877" width="13.7109375" style="51" customWidth="1"/>
    <col min="15878" max="15878" width="16.85546875" style="51" customWidth="1"/>
    <col min="15879" max="15879" width="15.140625" style="51" customWidth="1"/>
    <col min="15880" max="15880" width="13.7109375" style="51" customWidth="1"/>
    <col min="15881" max="15881" width="17" style="51" customWidth="1"/>
    <col min="15882" max="15882" width="13.140625" style="51" bestFit="1" customWidth="1"/>
    <col min="15883" max="15883" width="7.85546875" style="51"/>
    <col min="15884" max="15884" width="14.28515625" style="51" bestFit="1" customWidth="1"/>
    <col min="15885" max="15885" width="16.42578125" style="51" bestFit="1" customWidth="1"/>
    <col min="15886" max="16128" width="7.85546875" style="51"/>
    <col min="16129" max="16129" width="29.28515625" style="51" customWidth="1"/>
    <col min="16130" max="16130" width="14.42578125" style="51" customWidth="1"/>
    <col min="16131" max="16131" width="16" style="51" customWidth="1"/>
    <col min="16132" max="16133" width="13.7109375" style="51" customWidth="1"/>
    <col min="16134" max="16134" width="16.85546875" style="51" customWidth="1"/>
    <col min="16135" max="16135" width="15.140625" style="51" customWidth="1"/>
    <col min="16136" max="16136" width="13.7109375" style="51" customWidth="1"/>
    <col min="16137" max="16137" width="17" style="51" customWidth="1"/>
    <col min="16138" max="16138" width="13.140625" style="51" bestFit="1" customWidth="1"/>
    <col min="16139" max="16139" width="7.85546875" style="51"/>
    <col min="16140" max="16140" width="14.28515625" style="51" bestFit="1" customWidth="1"/>
    <col min="16141" max="16141" width="16.42578125" style="51" bestFit="1" customWidth="1"/>
    <col min="16142" max="16384" width="7.85546875" style="51"/>
  </cols>
  <sheetData>
    <row r="1" spans="1:12" ht="27.75" customHeight="1" x14ac:dyDescent="0.2"/>
    <row r="2" spans="1:12" ht="25.5" customHeight="1" x14ac:dyDescent="0.2"/>
    <row r="3" spans="1:12" ht="15.75" customHeight="1" x14ac:dyDescent="0.25">
      <c r="A3" s="246" t="s">
        <v>124</v>
      </c>
      <c r="B3" s="246"/>
      <c r="C3" s="246"/>
      <c r="D3" s="246"/>
      <c r="E3" s="246"/>
      <c r="F3" s="246"/>
      <c r="G3" s="246"/>
      <c r="H3" s="246"/>
      <c r="I3" s="246"/>
      <c r="J3" s="227">
        <v>22</v>
      </c>
    </row>
    <row r="4" spans="1:12" s="52" customFormat="1" ht="21.75" customHeight="1" x14ac:dyDescent="0.35">
      <c r="A4" s="100" t="s">
        <v>0</v>
      </c>
      <c r="B4" s="99"/>
      <c r="C4" s="98"/>
      <c r="D4" s="98"/>
      <c r="E4" s="98"/>
      <c r="F4" s="98"/>
      <c r="G4" s="98"/>
      <c r="H4" s="98"/>
      <c r="I4" s="98"/>
    </row>
    <row r="5" spans="1:12" s="52" customFormat="1" ht="15.75" x14ac:dyDescent="0.25">
      <c r="A5" s="97" t="s">
        <v>116</v>
      </c>
    </row>
    <row r="6" spans="1:12" s="95" customFormat="1" ht="25.5" customHeight="1" x14ac:dyDescent="0.2">
      <c r="A6" s="96" t="s">
        <v>3</v>
      </c>
      <c r="B6" s="96" t="s">
        <v>115</v>
      </c>
      <c r="C6" s="96" t="s">
        <v>114</v>
      </c>
      <c r="D6" s="96" t="s">
        <v>113</v>
      </c>
      <c r="E6" s="96" t="s">
        <v>112</v>
      </c>
      <c r="F6" s="96" t="s">
        <v>111</v>
      </c>
      <c r="G6" s="96" t="s">
        <v>110</v>
      </c>
      <c r="H6" s="96" t="s">
        <v>109</v>
      </c>
      <c r="I6" s="96" t="s">
        <v>108</v>
      </c>
      <c r="L6" s="95" t="s">
        <v>153</v>
      </c>
    </row>
    <row r="7" spans="1:12" customFormat="1" ht="17.25" customHeight="1" x14ac:dyDescent="0.25">
      <c r="A7" s="106" t="s">
        <v>126</v>
      </c>
      <c r="B7" s="216"/>
      <c r="C7" s="217"/>
      <c r="D7" s="126"/>
      <c r="E7" s="126"/>
      <c r="F7" s="126"/>
      <c r="G7" s="126"/>
      <c r="H7" s="126"/>
      <c r="I7" s="218"/>
      <c r="K7" s="111"/>
    </row>
    <row r="8" spans="1:12" customFormat="1" ht="15.75" customHeight="1" x14ac:dyDescent="0.25">
      <c r="A8" s="112" t="s">
        <v>118</v>
      </c>
      <c r="B8" s="232">
        <v>0.5</v>
      </c>
      <c r="C8" s="114">
        <f>40.5*1.15</f>
        <v>46.574999999999996</v>
      </c>
      <c r="D8" s="229">
        <v>11</v>
      </c>
      <c r="E8" s="116">
        <v>0</v>
      </c>
      <c r="F8" s="91">
        <f>(((C8*2*16)*B8)*1.7+((C8*10*6)*B8)*2)</f>
        <v>4061.3399999999992</v>
      </c>
      <c r="G8" s="117">
        <v>0</v>
      </c>
      <c r="H8" s="91">
        <f>C8*(220*2)*B8</f>
        <v>10246.499999999998</v>
      </c>
      <c r="I8" s="118">
        <f>E8+F8+G8+H8</f>
        <v>14307.839999999997</v>
      </c>
      <c r="K8" s="111"/>
    </row>
    <row r="9" spans="1:12" customFormat="1" ht="12.95" customHeight="1" x14ac:dyDescent="0.25">
      <c r="A9" s="112" t="s">
        <v>134</v>
      </c>
      <c r="B9" s="113">
        <v>0.5</v>
      </c>
      <c r="C9" s="114">
        <f>25*1.15</f>
        <v>28.749999999999996</v>
      </c>
      <c r="D9" s="115">
        <v>11</v>
      </c>
      <c r="E9" s="116">
        <v>0</v>
      </c>
      <c r="F9" s="91">
        <f>(((C9*2*16)*B9)*1.7+((C9*10*6)*B9)*2)</f>
        <v>2506.9999999999995</v>
      </c>
      <c r="G9" s="117">
        <v>0</v>
      </c>
      <c r="H9" s="91">
        <f>C9*(220*2)*B9</f>
        <v>6324.9999999999991</v>
      </c>
      <c r="I9" s="118">
        <f>E9+F9+G9+H9</f>
        <v>8831.9999999999982</v>
      </c>
      <c r="L9">
        <f t="shared" ref="L9:L20" si="0">170*C9*B9</f>
        <v>2443.7499999999995</v>
      </c>
    </row>
    <row r="10" spans="1:12" customFormat="1" ht="12.95" customHeight="1" x14ac:dyDescent="0.25">
      <c r="A10" s="112" t="s">
        <v>119</v>
      </c>
      <c r="B10" s="113">
        <v>0.5</v>
      </c>
      <c r="C10" s="114">
        <f>33.28*1.15</f>
        <v>38.271999999999998</v>
      </c>
      <c r="D10" s="115">
        <v>11</v>
      </c>
      <c r="E10" s="116">
        <v>0</v>
      </c>
      <c r="F10" s="91">
        <f>(((C10*2*16)*B10)*1.7+((C10*10*6)*B10)*2)</f>
        <v>3337.3183999999997</v>
      </c>
      <c r="G10" s="91">
        <v>0</v>
      </c>
      <c r="H10" s="91">
        <f>C10*(220)*B10</f>
        <v>4209.92</v>
      </c>
      <c r="I10" s="118">
        <f>E10+F10+G10+H10</f>
        <v>7547.2384000000002</v>
      </c>
      <c r="L10">
        <f t="shared" si="0"/>
        <v>3253.12</v>
      </c>
    </row>
    <row r="11" spans="1:12" customFormat="1" ht="12.95" customHeight="1" x14ac:dyDescent="0.25">
      <c r="A11" s="112" t="s">
        <v>160</v>
      </c>
      <c r="B11" s="214">
        <v>1</v>
      </c>
      <c r="C11" s="231">
        <v>12.5</v>
      </c>
      <c r="D11" s="115">
        <v>11</v>
      </c>
      <c r="E11" s="116">
        <v>0</v>
      </c>
      <c r="F11" s="91">
        <f>(((C11*2*16)*B11)*1.7+((C11*10*6)*B11)*2)</f>
        <v>2180</v>
      </c>
      <c r="G11" s="91">
        <f>((C11*8*22)*0.4)*B11/2</f>
        <v>440</v>
      </c>
      <c r="H11" s="91">
        <f>C11*(220)*B11</f>
        <v>2750</v>
      </c>
      <c r="I11" s="118">
        <f>E11+F11+G11+H11</f>
        <v>5370</v>
      </c>
      <c r="L11">
        <f t="shared" si="0"/>
        <v>2125</v>
      </c>
    </row>
    <row r="12" spans="1:12" customFormat="1" ht="12.95" customHeight="1" x14ac:dyDescent="0.25">
      <c r="A12" s="112" t="s">
        <v>128</v>
      </c>
      <c r="B12" s="144">
        <v>1</v>
      </c>
      <c r="C12" s="151">
        <v>18</v>
      </c>
      <c r="D12" s="219" t="s">
        <v>130</v>
      </c>
      <c r="E12" s="220">
        <v>0</v>
      </c>
      <c r="F12" s="91">
        <f>(((C12*2*16)*B12)*1.7+((C12*10*6)*B12)*2)</f>
        <v>3139.2</v>
      </c>
      <c r="G12" s="91">
        <f>((C12*8*22)*0.4)*B12/2</f>
        <v>633.6</v>
      </c>
      <c r="H12" s="91">
        <f>C12*(220)*B12</f>
        <v>3960</v>
      </c>
      <c r="I12" s="221">
        <f>E12+F12+G12+H12</f>
        <v>7732.7999999999993</v>
      </c>
      <c r="L12">
        <f t="shared" si="0"/>
        <v>3060</v>
      </c>
    </row>
    <row r="13" spans="1:12" customFormat="1" ht="12.95" customHeight="1" x14ac:dyDescent="0.25">
      <c r="A13" s="106" t="s">
        <v>129</v>
      </c>
      <c r="B13" s="124"/>
      <c r="C13" s="125"/>
      <c r="D13" s="222"/>
      <c r="E13" s="127"/>
      <c r="F13" s="91"/>
      <c r="G13" s="127"/>
      <c r="H13" s="91"/>
      <c r="I13" s="129"/>
      <c r="L13">
        <f t="shared" si="0"/>
        <v>0</v>
      </c>
    </row>
    <row r="14" spans="1:12" customFormat="1" ht="12.95" customHeight="1" x14ac:dyDescent="0.25">
      <c r="A14" s="143" t="s">
        <v>120</v>
      </c>
      <c r="B14" s="144">
        <v>2</v>
      </c>
      <c r="C14" s="93">
        <f>17.68*1.15</f>
        <v>20.331999999999997</v>
      </c>
      <c r="D14" s="92" t="s">
        <v>130</v>
      </c>
      <c r="E14" s="91">
        <v>0</v>
      </c>
      <c r="F14" s="91">
        <f t="shared" ref="F14:F20" si="1">(((C14*2*16)*B14)*1.7+((C14*10*6)*B14)*2)</f>
        <v>7091.8015999999989</v>
      </c>
      <c r="G14" s="91">
        <f>((C14*8*18)*0.4)*B14/2</f>
        <v>1171.1231999999998</v>
      </c>
      <c r="H14" s="91">
        <f t="shared" ref="H14:H20" si="2">C14*(220)*B14</f>
        <v>8946.0799999999981</v>
      </c>
      <c r="I14" s="90">
        <f t="shared" ref="I14:I20" si="3">E14+F14+G14+H14</f>
        <v>17209.004799999995</v>
      </c>
      <c r="L14">
        <f t="shared" si="0"/>
        <v>6912.8799999999992</v>
      </c>
    </row>
    <row r="15" spans="1:12" customFormat="1" ht="12.95" customHeight="1" x14ac:dyDescent="0.25">
      <c r="A15" s="130" t="s">
        <v>132</v>
      </c>
      <c r="B15" s="131">
        <v>1</v>
      </c>
      <c r="C15" s="93">
        <v>15</v>
      </c>
      <c r="D15" s="92">
        <v>1</v>
      </c>
      <c r="E15" s="91">
        <v>1</v>
      </c>
      <c r="F15" s="91">
        <f t="shared" si="1"/>
        <v>2616</v>
      </c>
      <c r="G15" s="91">
        <f>((C15*8*18)*0.4)*B15/2</f>
        <v>432</v>
      </c>
      <c r="H15" s="91">
        <f t="shared" si="2"/>
        <v>3300</v>
      </c>
      <c r="I15" s="90">
        <f t="shared" ref="I15" si="4">E15+F15+G15+H15</f>
        <v>6349</v>
      </c>
    </row>
    <row r="16" spans="1:12" customFormat="1" ht="12.95" customHeight="1" x14ac:dyDescent="0.25">
      <c r="A16" s="112" t="s">
        <v>65</v>
      </c>
      <c r="B16" s="133">
        <v>12</v>
      </c>
      <c r="C16" s="94">
        <v>10.81</v>
      </c>
      <c r="D16" s="92" t="s">
        <v>130</v>
      </c>
      <c r="E16" s="91">
        <v>0</v>
      </c>
      <c r="F16" s="91">
        <f t="shared" si="1"/>
        <v>22623.168000000001</v>
      </c>
      <c r="G16" s="91">
        <f t="shared" ref="G16:G20" si="5">((C16*8*18)*0.4)*B16/2</f>
        <v>3735.9360000000006</v>
      </c>
      <c r="H16" s="91">
        <f t="shared" si="2"/>
        <v>28538.400000000001</v>
      </c>
      <c r="I16" s="90">
        <f t="shared" si="3"/>
        <v>54897.504000000001</v>
      </c>
      <c r="L16">
        <f t="shared" si="0"/>
        <v>22052.400000000001</v>
      </c>
    </row>
    <row r="17" spans="1:13" customFormat="1" ht="12.95" customHeight="1" x14ac:dyDescent="0.25">
      <c r="A17" s="112" t="s">
        <v>121</v>
      </c>
      <c r="B17" s="133">
        <v>2</v>
      </c>
      <c r="C17" s="93">
        <v>9.4600000000000009</v>
      </c>
      <c r="D17" s="92" t="s">
        <v>130</v>
      </c>
      <c r="E17" s="91">
        <v>0</v>
      </c>
      <c r="F17" s="91">
        <f t="shared" si="1"/>
        <v>3299.6480000000001</v>
      </c>
      <c r="G17" s="91">
        <f t="shared" si="5"/>
        <v>544.89600000000007</v>
      </c>
      <c r="H17" s="91">
        <f t="shared" si="2"/>
        <v>4162.4000000000005</v>
      </c>
      <c r="I17" s="90">
        <f t="shared" si="3"/>
        <v>8006.9440000000013</v>
      </c>
      <c r="L17">
        <f t="shared" si="0"/>
        <v>3216.4</v>
      </c>
    </row>
    <row r="18" spans="1:13" customFormat="1" ht="12.95" customHeight="1" x14ac:dyDescent="0.25">
      <c r="A18" s="112" t="s">
        <v>66</v>
      </c>
      <c r="B18" s="133">
        <v>14</v>
      </c>
      <c r="C18" s="93">
        <v>6.04</v>
      </c>
      <c r="D18" s="92" t="s">
        <v>130</v>
      </c>
      <c r="E18" s="91">
        <v>0</v>
      </c>
      <c r="F18" s="91">
        <f t="shared" si="1"/>
        <v>14747.263999999999</v>
      </c>
      <c r="G18" s="91">
        <f t="shared" si="5"/>
        <v>2435.328</v>
      </c>
      <c r="H18" s="91">
        <f t="shared" si="2"/>
        <v>18603.2</v>
      </c>
      <c r="I18" s="90">
        <f t="shared" si="3"/>
        <v>35785.792000000001</v>
      </c>
      <c r="L18">
        <f t="shared" si="0"/>
        <v>14375.199999999999</v>
      </c>
    </row>
    <row r="19" spans="1:13" customFormat="1" ht="12.95" customHeight="1" x14ac:dyDescent="0.25">
      <c r="A19" s="112" t="s">
        <v>122</v>
      </c>
      <c r="B19" s="133">
        <v>1</v>
      </c>
      <c r="C19" s="93">
        <f>8.46*1.15</f>
        <v>9.729000000000001</v>
      </c>
      <c r="D19" s="92">
        <v>11</v>
      </c>
      <c r="E19" s="91">
        <v>0</v>
      </c>
      <c r="F19" s="91">
        <f t="shared" si="1"/>
        <v>1696.7375999999999</v>
      </c>
      <c r="G19" s="91">
        <f t="shared" ref="G19" si="6">((C19*8*18)*0.4)*B19/2</f>
        <v>280.19520000000006</v>
      </c>
      <c r="H19" s="91">
        <f t="shared" si="2"/>
        <v>2140.38</v>
      </c>
      <c r="I19" s="90">
        <f t="shared" ref="I19" si="7">E19+F19+G19+H19</f>
        <v>4117.3127999999997</v>
      </c>
      <c r="L19">
        <f t="shared" si="0"/>
        <v>1653.93</v>
      </c>
    </row>
    <row r="20" spans="1:13" customFormat="1" ht="12.95" customHeight="1" x14ac:dyDescent="0.25">
      <c r="A20" s="112" t="s">
        <v>123</v>
      </c>
      <c r="B20" s="133">
        <v>2</v>
      </c>
      <c r="C20" s="93">
        <v>9.4600000000000009</v>
      </c>
      <c r="D20" s="92" t="s">
        <v>130</v>
      </c>
      <c r="E20" s="91">
        <v>0</v>
      </c>
      <c r="F20" s="91">
        <f t="shared" si="1"/>
        <v>3299.6480000000001</v>
      </c>
      <c r="G20" s="91">
        <f t="shared" si="5"/>
        <v>544.89600000000007</v>
      </c>
      <c r="H20" s="91">
        <f t="shared" si="2"/>
        <v>4162.4000000000005</v>
      </c>
      <c r="I20" s="90">
        <f t="shared" si="3"/>
        <v>8006.9440000000013</v>
      </c>
      <c r="L20">
        <f t="shared" si="0"/>
        <v>3216.4</v>
      </c>
    </row>
    <row r="21" spans="1:13" customFormat="1" ht="14.1" customHeight="1" x14ac:dyDescent="0.25">
      <c r="A21" s="89" t="s">
        <v>107</v>
      </c>
      <c r="B21" s="88"/>
      <c r="C21" s="87"/>
      <c r="D21" s="86"/>
      <c r="E21" s="86"/>
      <c r="F21" s="86"/>
      <c r="G21" s="86"/>
      <c r="H21" s="86"/>
      <c r="I21" s="85"/>
    </row>
    <row r="22" spans="1:13" s="52" customFormat="1" ht="12.75" x14ac:dyDescent="0.2">
      <c r="A22" s="95"/>
      <c r="D22" s="134"/>
      <c r="E22" s="134"/>
      <c r="F22" s="134"/>
      <c r="G22" s="134"/>
      <c r="H22" s="134"/>
      <c r="I22" s="134"/>
      <c r="L22" s="135">
        <f>SUM(L9:L20)</f>
        <v>62309.08</v>
      </c>
    </row>
    <row r="23" spans="1:13" s="52" customFormat="1" ht="14.25" customHeight="1" x14ac:dyDescent="0.2">
      <c r="C23" s="247" t="s">
        <v>106</v>
      </c>
      <c r="D23" s="248"/>
      <c r="E23" s="248"/>
      <c r="F23" s="248"/>
      <c r="G23" s="248"/>
      <c r="H23" s="249">
        <f>SUM(I9:I20)</f>
        <v>163854.54</v>
      </c>
      <c r="I23" s="250"/>
    </row>
    <row r="24" spans="1:13" s="52" customFormat="1" ht="17.25" customHeight="1" x14ac:dyDescent="0.25">
      <c r="A24" s="97" t="s">
        <v>105</v>
      </c>
    </row>
    <row r="25" spans="1:13" s="52" customFormat="1" ht="13.5" customHeight="1" x14ac:dyDescent="0.2">
      <c r="A25" s="84" t="s">
        <v>104</v>
      </c>
      <c r="B25" s="83" t="s">
        <v>103</v>
      </c>
      <c r="C25" s="82" t="s">
        <v>102</v>
      </c>
      <c r="D25" s="101"/>
      <c r="E25" s="101"/>
      <c r="F25" s="101"/>
      <c r="G25" s="101"/>
      <c r="H25" s="101"/>
    </row>
    <row r="26" spans="1:13" s="52" customFormat="1" ht="15.75" hidden="1" customHeight="1" x14ac:dyDescent="0.2">
      <c r="A26" s="81" t="s">
        <v>101</v>
      </c>
      <c r="B26" s="80"/>
      <c r="C26" s="79"/>
      <c r="D26" s="136"/>
      <c r="E26" s="136"/>
      <c r="F26" s="136"/>
      <c r="G26" s="136"/>
      <c r="H26" s="251"/>
      <c r="I26" s="251"/>
    </row>
    <row r="27" spans="1:13" s="52" customFormat="1" ht="15.75" hidden="1" x14ac:dyDescent="0.25">
      <c r="A27" s="71" t="s">
        <v>100</v>
      </c>
      <c r="B27" s="137">
        <v>0.2</v>
      </c>
      <c r="C27" s="69">
        <f>H23*B27</f>
        <v>32770.908000000003</v>
      </c>
      <c r="D27" s="136"/>
      <c r="E27" s="136"/>
      <c r="F27" s="136"/>
      <c r="G27" s="136"/>
      <c r="H27" s="136"/>
      <c r="M27" s="78">
        <v>762000</v>
      </c>
    </row>
    <row r="28" spans="1:13" s="52" customFormat="1" ht="12.75" hidden="1" x14ac:dyDescent="0.2">
      <c r="A28" s="71" t="s">
        <v>99</v>
      </c>
      <c r="B28" s="137">
        <v>8.5000000000000006E-2</v>
      </c>
      <c r="C28" s="69">
        <f>H23*B28</f>
        <v>13927.635900000001</v>
      </c>
      <c r="D28" s="138"/>
      <c r="E28" s="138"/>
      <c r="F28" s="138"/>
      <c r="G28" s="138"/>
      <c r="H28" s="136"/>
    </row>
    <row r="29" spans="1:13" s="52" customFormat="1" ht="7.5" hidden="1" customHeight="1" x14ac:dyDescent="0.2">
      <c r="A29" s="71"/>
      <c r="B29" s="137"/>
      <c r="C29" s="77"/>
      <c r="D29" s="136"/>
      <c r="E29" s="136"/>
      <c r="F29" s="136"/>
      <c r="G29" s="136"/>
      <c r="H29" s="136"/>
    </row>
    <row r="30" spans="1:13" s="52" customFormat="1" ht="15.75" hidden="1" customHeight="1" x14ac:dyDescent="0.2">
      <c r="A30" s="74" t="s">
        <v>98</v>
      </c>
      <c r="B30" s="139"/>
      <c r="C30" s="76"/>
      <c r="D30" s="136"/>
      <c r="E30" s="136"/>
      <c r="F30" s="136"/>
      <c r="G30" s="136"/>
      <c r="H30" s="136"/>
    </row>
    <row r="31" spans="1:13" s="52" customFormat="1" ht="12.95" hidden="1" customHeight="1" x14ac:dyDescent="0.2">
      <c r="A31" s="71" t="s">
        <v>97</v>
      </c>
      <c r="B31" s="137">
        <v>0.1091</v>
      </c>
      <c r="C31" s="69">
        <f>H23*B31</f>
        <v>17876.530314</v>
      </c>
      <c r="D31" s="136"/>
      <c r="E31" s="136"/>
      <c r="F31" s="136"/>
      <c r="G31" s="136"/>
      <c r="H31" s="136"/>
    </row>
    <row r="32" spans="1:13" s="52" customFormat="1" ht="12.75" hidden="1" x14ac:dyDescent="0.2">
      <c r="A32" s="71" t="s">
        <v>96</v>
      </c>
      <c r="B32" s="137">
        <v>9.4500000000000001E-2</v>
      </c>
      <c r="C32" s="69">
        <f>H23*B32</f>
        <v>15484.25403</v>
      </c>
      <c r="D32" s="136"/>
      <c r="E32" s="136"/>
      <c r="F32" s="136"/>
      <c r="G32" s="136"/>
      <c r="H32" s="136"/>
    </row>
    <row r="33" spans="1:12" s="52" customFormat="1" ht="12.75" hidden="1" x14ac:dyDescent="0.2">
      <c r="A33" s="71" t="s">
        <v>95</v>
      </c>
      <c r="B33" s="75">
        <v>5.4999999999999997E-3</v>
      </c>
      <c r="C33" s="69">
        <f>H23*B33</f>
        <v>901.19997000000001</v>
      </c>
      <c r="D33" s="136"/>
      <c r="E33" s="136"/>
      <c r="F33" s="136"/>
      <c r="G33" s="136"/>
      <c r="H33" s="136"/>
    </row>
    <row r="34" spans="1:12" s="52" customFormat="1" ht="12.75" hidden="1" x14ac:dyDescent="0.2">
      <c r="A34" s="71" t="s">
        <v>94</v>
      </c>
      <c r="B34" s="137">
        <v>0</v>
      </c>
      <c r="C34" s="69">
        <f>H23*B34</f>
        <v>0</v>
      </c>
      <c r="D34" s="136"/>
      <c r="E34" s="136"/>
      <c r="F34" s="136"/>
      <c r="G34" s="136"/>
      <c r="H34" s="136"/>
    </row>
    <row r="35" spans="1:12" s="52" customFormat="1" ht="4.5" hidden="1" customHeight="1" x14ac:dyDescent="0.2">
      <c r="A35" s="71"/>
      <c r="B35" s="137"/>
      <c r="C35" s="69"/>
      <c r="D35" s="136"/>
      <c r="E35" s="136"/>
      <c r="F35" s="136"/>
      <c r="G35" s="136"/>
      <c r="H35" s="136"/>
    </row>
    <row r="36" spans="1:12" s="52" customFormat="1" ht="15.75" hidden="1" customHeight="1" x14ac:dyDescent="0.2">
      <c r="A36" s="74" t="s">
        <v>93</v>
      </c>
      <c r="B36" s="139"/>
      <c r="C36" s="72"/>
      <c r="D36" s="136"/>
      <c r="E36" s="136"/>
      <c r="F36" s="136"/>
      <c r="G36" s="136"/>
      <c r="H36" s="136"/>
    </row>
    <row r="37" spans="1:12" s="52" customFormat="1" ht="6" hidden="1" customHeight="1" x14ac:dyDescent="0.2">
      <c r="A37" s="74"/>
      <c r="B37" s="139"/>
      <c r="C37" s="72"/>
      <c r="D37" s="136"/>
      <c r="E37" s="136"/>
      <c r="F37" s="136"/>
      <c r="G37" s="136"/>
      <c r="H37" s="136"/>
    </row>
    <row r="38" spans="1:12" s="52" customFormat="1" ht="12.95" hidden="1" customHeight="1" x14ac:dyDescent="0.2">
      <c r="A38" s="71" t="s">
        <v>92</v>
      </c>
      <c r="B38" s="137">
        <v>7.9299999999999995E-2</v>
      </c>
      <c r="C38" s="69">
        <f>H23*B38</f>
        <v>12993.665021999999</v>
      </c>
      <c r="D38" s="136"/>
      <c r="E38" s="136"/>
      <c r="F38" s="136"/>
      <c r="G38" s="136"/>
      <c r="H38" s="136"/>
    </row>
    <row r="39" spans="1:12" s="52" customFormat="1" ht="6" hidden="1" customHeight="1" x14ac:dyDescent="0.2">
      <c r="A39" s="71"/>
      <c r="B39" s="137"/>
      <c r="C39" s="69"/>
      <c r="D39" s="136"/>
      <c r="E39" s="136"/>
      <c r="F39" s="136"/>
      <c r="G39" s="136"/>
      <c r="H39" s="136"/>
    </row>
    <row r="40" spans="1:12" s="52" customFormat="1" ht="15.75" hidden="1" customHeight="1" x14ac:dyDescent="0.2">
      <c r="A40" s="74" t="s">
        <v>91</v>
      </c>
      <c r="B40" s="139"/>
      <c r="C40" s="72"/>
      <c r="D40" s="136"/>
      <c r="E40" s="136"/>
      <c r="F40" s="136"/>
      <c r="G40" s="136"/>
      <c r="H40" s="136"/>
    </row>
    <row r="41" spans="1:12" s="52" customFormat="1" ht="8.25" hidden="1" customHeight="1" x14ac:dyDescent="0.2">
      <c r="A41" s="74"/>
      <c r="B41" s="73"/>
      <c r="C41" s="72"/>
      <c r="D41" s="136"/>
      <c r="E41" s="136"/>
      <c r="F41" s="136"/>
      <c r="G41" s="136"/>
      <c r="H41" s="136"/>
    </row>
    <row r="42" spans="1:12" s="52" customFormat="1" ht="12.95" hidden="1" customHeight="1" x14ac:dyDescent="0.2">
      <c r="A42" s="71" t="s">
        <v>90</v>
      </c>
      <c r="B42" s="70" t="s">
        <v>89</v>
      </c>
      <c r="C42" s="69">
        <f>50/100*C28</f>
        <v>6963.8179500000006</v>
      </c>
      <c r="D42" s="136"/>
      <c r="E42" s="136"/>
      <c r="F42" s="136"/>
      <c r="G42" s="136"/>
      <c r="H42" s="136"/>
    </row>
    <row r="43" spans="1:12" s="52" customFormat="1" ht="12.75" hidden="1" x14ac:dyDescent="0.2">
      <c r="A43" s="68"/>
      <c r="B43" s="67"/>
      <c r="C43" s="66"/>
      <c r="D43" s="136"/>
      <c r="E43" s="136"/>
      <c r="F43" s="136"/>
      <c r="G43" s="136"/>
      <c r="H43" s="136"/>
    </row>
    <row r="44" spans="1:12" s="52" customFormat="1" ht="14.25" customHeight="1" x14ac:dyDescent="0.2">
      <c r="A44" s="247" t="s">
        <v>88</v>
      </c>
      <c r="B44" s="252"/>
      <c r="C44" s="65">
        <f>SUM(C27:C43)</f>
        <v>100918.011186</v>
      </c>
      <c r="D44" s="64"/>
      <c r="E44" s="63"/>
      <c r="F44" s="63"/>
      <c r="G44" s="63"/>
      <c r="H44" s="62"/>
    </row>
    <row r="45" spans="1:12" s="52" customFormat="1" ht="7.5" customHeight="1" x14ac:dyDescent="0.2">
      <c r="B45" s="101"/>
    </row>
    <row r="46" spans="1:12" s="52" customFormat="1" ht="14.25" customHeight="1" x14ac:dyDescent="0.2">
      <c r="A46" s="61"/>
      <c r="C46" s="253" t="s">
        <v>87</v>
      </c>
      <c r="D46" s="253"/>
      <c r="E46" s="253"/>
      <c r="F46" s="253"/>
      <c r="G46" s="253"/>
      <c r="H46" s="249">
        <f>C44+H23</f>
        <v>264772.551186</v>
      </c>
      <c r="I46" s="250"/>
    </row>
    <row r="47" spans="1:12" s="52" customFormat="1" ht="15.75" customHeight="1" x14ac:dyDescent="0.2">
      <c r="F47" s="244"/>
      <c r="G47" s="244"/>
      <c r="H47" s="245"/>
      <c r="I47" s="245"/>
      <c r="J47" s="60"/>
      <c r="L47" s="223"/>
    </row>
    <row r="48" spans="1:12" s="52" customFormat="1" x14ac:dyDescent="0.2">
      <c r="A48" s="141"/>
      <c r="B48" s="57" t="s">
        <v>85</v>
      </c>
      <c r="C48" s="57" t="s">
        <v>84</v>
      </c>
      <c r="D48" s="55" t="s">
        <v>86</v>
      </c>
      <c r="E48" s="55" t="s">
        <v>83</v>
      </c>
      <c r="F48" s="55" t="s">
        <v>82</v>
      </c>
      <c r="G48" s="55" t="s">
        <v>81</v>
      </c>
      <c r="H48" s="245"/>
      <c r="I48" s="245"/>
      <c r="J48" s="60"/>
      <c r="L48" s="60"/>
    </row>
    <row r="49" spans="1:12" s="52" customFormat="1" ht="23.25" customHeight="1" x14ac:dyDescent="0.2">
      <c r="A49" s="112" t="s">
        <v>118</v>
      </c>
      <c r="B49" s="113">
        <v>0.5</v>
      </c>
      <c r="C49" s="56">
        <v>30</v>
      </c>
      <c r="D49" s="55">
        <v>5.4</v>
      </c>
      <c r="E49" s="55">
        <v>12.96</v>
      </c>
      <c r="F49" s="54">
        <v>12</v>
      </c>
      <c r="G49" s="53">
        <f>(B49*C49*(D49+E49+F49))+(33*(D49+E49))</f>
        <v>1061.28</v>
      </c>
      <c r="L49" s="142"/>
    </row>
    <row r="50" spans="1:12" s="52" customFormat="1" ht="16.5" customHeight="1" x14ac:dyDescent="0.2">
      <c r="A50" s="112" t="s">
        <v>134</v>
      </c>
      <c r="B50" s="113">
        <v>0.5</v>
      </c>
      <c r="C50" s="56">
        <v>60</v>
      </c>
      <c r="D50" s="55">
        <v>5.4</v>
      </c>
      <c r="E50" s="55">
        <v>12.96</v>
      </c>
      <c r="F50" s="54">
        <v>12</v>
      </c>
      <c r="G50" s="53">
        <f>(B50*C50*(D50+E50+F50))+(33*(D50+E50))</f>
        <v>1516.6799999999998</v>
      </c>
      <c r="L50" s="60"/>
    </row>
    <row r="51" spans="1:12" s="52" customFormat="1" ht="17.25" customHeight="1" x14ac:dyDescent="0.2">
      <c r="A51" s="112" t="s">
        <v>119</v>
      </c>
      <c r="B51" s="113">
        <v>0.5</v>
      </c>
      <c r="C51" s="56">
        <v>30</v>
      </c>
      <c r="D51" s="55">
        <v>5.4</v>
      </c>
      <c r="E51" s="55">
        <v>12.96</v>
      </c>
      <c r="F51" s="54">
        <v>12</v>
      </c>
      <c r="G51" s="53">
        <f t="shared" ref="G51:G58" si="8">(B51*C51*(D51+E51+F51))</f>
        <v>455.4</v>
      </c>
      <c r="H51" s="60"/>
    </row>
    <row r="52" spans="1:12" s="52" customFormat="1" ht="17.25" customHeight="1" x14ac:dyDescent="0.2">
      <c r="A52" s="112" t="s">
        <v>160</v>
      </c>
      <c r="B52" s="233">
        <v>1</v>
      </c>
      <c r="C52" s="56">
        <v>30</v>
      </c>
      <c r="D52" s="55">
        <v>5.4</v>
      </c>
      <c r="E52" s="55">
        <v>12.96</v>
      </c>
      <c r="F52" s="54">
        <v>12</v>
      </c>
      <c r="G52" s="53">
        <f t="shared" ref="G52" si="9">(B52*C52*(D52+E52+F52))</f>
        <v>910.8</v>
      </c>
      <c r="H52" s="60"/>
    </row>
    <row r="53" spans="1:12" s="52" customFormat="1" ht="12.75" x14ac:dyDescent="0.2">
      <c r="A53" s="112" t="s">
        <v>65</v>
      </c>
      <c r="B53" s="133">
        <v>6</v>
      </c>
      <c r="C53" s="56">
        <f t="shared" ref="C53:C57" si="10">20+5</f>
        <v>25</v>
      </c>
      <c r="D53" s="55">
        <v>5.4</v>
      </c>
      <c r="E53" s="55">
        <v>12.96</v>
      </c>
      <c r="F53" s="54">
        <v>12</v>
      </c>
      <c r="G53" s="53">
        <f t="shared" si="8"/>
        <v>4554</v>
      </c>
      <c r="H53" s="60"/>
    </row>
    <row r="54" spans="1:12" s="52" customFormat="1" ht="16.5" customHeight="1" x14ac:dyDescent="0.2">
      <c r="A54" s="112" t="s">
        <v>121</v>
      </c>
      <c r="B54" s="133">
        <v>1</v>
      </c>
      <c r="C54" s="56">
        <f t="shared" si="10"/>
        <v>25</v>
      </c>
      <c r="D54" s="55">
        <v>5.4</v>
      </c>
      <c r="E54" s="55">
        <v>12.96</v>
      </c>
      <c r="F54" s="54">
        <v>12</v>
      </c>
      <c r="G54" s="53">
        <f t="shared" si="8"/>
        <v>759</v>
      </c>
      <c r="H54" s="60"/>
    </row>
    <row r="55" spans="1:12" s="52" customFormat="1" ht="12.75" x14ac:dyDescent="0.2">
      <c r="A55" s="112" t="s">
        <v>66</v>
      </c>
      <c r="B55" s="133">
        <v>7</v>
      </c>
      <c r="C55" s="56">
        <f t="shared" si="10"/>
        <v>25</v>
      </c>
      <c r="D55" s="55">
        <v>5.4</v>
      </c>
      <c r="E55" s="55">
        <v>12.96</v>
      </c>
      <c r="F55" s="54">
        <v>12</v>
      </c>
      <c r="G55" s="53">
        <f t="shared" si="8"/>
        <v>5313</v>
      </c>
      <c r="H55" s="60"/>
    </row>
    <row r="56" spans="1:12" s="52" customFormat="1" ht="12.75" x14ac:dyDescent="0.2">
      <c r="A56" s="112" t="s">
        <v>122</v>
      </c>
      <c r="B56" s="133">
        <v>1</v>
      </c>
      <c r="C56" s="56">
        <f t="shared" si="10"/>
        <v>25</v>
      </c>
      <c r="D56" s="55">
        <v>5.4</v>
      </c>
      <c r="E56" s="55">
        <v>12.96</v>
      </c>
      <c r="F56" s="54">
        <v>12</v>
      </c>
      <c r="G56" s="53">
        <f t="shared" si="8"/>
        <v>759</v>
      </c>
      <c r="H56" s="60"/>
    </row>
    <row r="57" spans="1:12" s="52" customFormat="1" ht="12.75" x14ac:dyDescent="0.2">
      <c r="A57" s="112" t="s">
        <v>123</v>
      </c>
      <c r="B57" s="133">
        <v>1</v>
      </c>
      <c r="C57" s="56">
        <f t="shared" si="10"/>
        <v>25</v>
      </c>
      <c r="D57" s="55">
        <v>5.4</v>
      </c>
      <c r="E57" s="55">
        <v>12.96</v>
      </c>
      <c r="F57" s="54">
        <v>12</v>
      </c>
      <c r="G57" s="53">
        <f t="shared" si="8"/>
        <v>759</v>
      </c>
      <c r="H57" s="60"/>
    </row>
    <row r="58" spans="1:12" s="52" customFormat="1" ht="12.75" x14ac:dyDescent="0.2">
      <c r="A58" s="143" t="s">
        <v>120</v>
      </c>
      <c r="B58" s="144">
        <v>1</v>
      </c>
      <c r="C58" s="56">
        <v>30</v>
      </c>
      <c r="D58" s="55">
        <v>5.4</v>
      </c>
      <c r="E58" s="55">
        <v>12.96</v>
      </c>
      <c r="F58" s="54">
        <v>12</v>
      </c>
      <c r="G58" s="53">
        <f t="shared" si="8"/>
        <v>910.8</v>
      </c>
      <c r="H58" s="60"/>
    </row>
    <row r="59" spans="1:12" s="52" customFormat="1" x14ac:dyDescent="0.2">
      <c r="A59" s="145"/>
      <c r="B59" s="59"/>
      <c r="C59" s="58"/>
      <c r="G59" s="146">
        <f>SUM(G49:G58)</f>
        <v>16998.96</v>
      </c>
      <c r="H59" s="60"/>
    </row>
    <row r="60" spans="1:12" s="52" customFormat="1" ht="12.75" x14ac:dyDescent="0.2">
      <c r="H60" s="60"/>
    </row>
    <row r="61" spans="1:12" s="52" customFormat="1" ht="21.75" customHeight="1" x14ac:dyDescent="0.2">
      <c r="A61" s="141"/>
      <c r="B61" s="57" t="s">
        <v>85</v>
      </c>
      <c r="C61" s="57" t="s">
        <v>84</v>
      </c>
      <c r="D61" s="55" t="s">
        <v>82</v>
      </c>
      <c r="E61" s="55" t="s">
        <v>83</v>
      </c>
      <c r="F61" s="55" t="s">
        <v>82</v>
      </c>
      <c r="G61" s="55" t="s">
        <v>81</v>
      </c>
      <c r="H61" s="60"/>
    </row>
    <row r="62" spans="1:12" s="52" customFormat="1" ht="12.75" x14ac:dyDescent="0.2">
      <c r="A62" s="112" t="s">
        <v>128</v>
      </c>
      <c r="B62" s="144">
        <v>1</v>
      </c>
      <c r="C62" s="56">
        <v>30</v>
      </c>
      <c r="D62" s="54">
        <v>10</v>
      </c>
      <c r="E62" s="55">
        <v>12.96</v>
      </c>
      <c r="F62" s="54">
        <v>12</v>
      </c>
      <c r="G62" s="53">
        <f t="shared" ref="G62:G68" si="11">(B62*C62*(D62+E62+F62))</f>
        <v>1048.8</v>
      </c>
      <c r="H62" s="60"/>
    </row>
    <row r="63" spans="1:12" s="52" customFormat="1" ht="12.75" x14ac:dyDescent="0.2">
      <c r="A63" s="112" t="s">
        <v>132</v>
      </c>
      <c r="B63" s="131">
        <v>1</v>
      </c>
      <c r="C63" s="56">
        <v>30</v>
      </c>
      <c r="D63" s="54">
        <v>10</v>
      </c>
      <c r="E63" s="55">
        <v>12.96</v>
      </c>
      <c r="F63" s="54">
        <v>12</v>
      </c>
      <c r="G63" s="53">
        <f t="shared" ref="G63" si="12">(B63*C63*(D63+E63+F63))</f>
        <v>1048.8</v>
      </c>
      <c r="H63" s="60"/>
    </row>
    <row r="64" spans="1:12" s="52" customFormat="1" ht="12.75" x14ac:dyDescent="0.2">
      <c r="A64" s="112" t="s">
        <v>65</v>
      </c>
      <c r="B64" s="133">
        <v>6</v>
      </c>
      <c r="C64" s="56">
        <f t="shared" ref="C64:C67" si="13">20+5</f>
        <v>25</v>
      </c>
      <c r="D64" s="54">
        <v>10</v>
      </c>
      <c r="E64" s="55">
        <v>12.96</v>
      </c>
      <c r="F64" s="54">
        <v>12</v>
      </c>
      <c r="G64" s="53">
        <f t="shared" si="11"/>
        <v>5244</v>
      </c>
      <c r="H64" s="60"/>
    </row>
    <row r="65" spans="1:8" s="52" customFormat="1" ht="16.5" customHeight="1" x14ac:dyDescent="0.2">
      <c r="A65" s="112" t="s">
        <v>121</v>
      </c>
      <c r="B65" s="133">
        <v>1</v>
      </c>
      <c r="C65" s="56">
        <f t="shared" si="13"/>
        <v>25</v>
      </c>
      <c r="D65" s="54">
        <v>10</v>
      </c>
      <c r="E65" s="55">
        <v>12.96</v>
      </c>
      <c r="F65" s="54">
        <v>12</v>
      </c>
      <c r="G65" s="53">
        <f t="shared" si="11"/>
        <v>874</v>
      </c>
      <c r="H65" s="60"/>
    </row>
    <row r="66" spans="1:8" s="52" customFormat="1" ht="12.75" x14ac:dyDescent="0.2">
      <c r="A66" s="112" t="s">
        <v>66</v>
      </c>
      <c r="B66" s="133">
        <v>7</v>
      </c>
      <c r="C66" s="56">
        <f t="shared" si="13"/>
        <v>25</v>
      </c>
      <c r="D66" s="54">
        <v>10</v>
      </c>
      <c r="E66" s="55">
        <v>12.96</v>
      </c>
      <c r="F66" s="54">
        <v>12</v>
      </c>
      <c r="G66" s="53">
        <f t="shared" si="11"/>
        <v>6118</v>
      </c>
      <c r="H66" s="60"/>
    </row>
    <row r="67" spans="1:8" s="52" customFormat="1" ht="12.75" x14ac:dyDescent="0.2">
      <c r="A67" s="112" t="s">
        <v>123</v>
      </c>
      <c r="B67" s="133">
        <v>1</v>
      </c>
      <c r="C67" s="56">
        <f t="shared" si="13"/>
        <v>25</v>
      </c>
      <c r="D67" s="54">
        <v>10</v>
      </c>
      <c r="E67" s="55">
        <v>12.96</v>
      </c>
      <c r="F67" s="54">
        <v>12</v>
      </c>
      <c r="G67" s="53">
        <f t="shared" si="11"/>
        <v>874</v>
      </c>
      <c r="H67" s="60"/>
    </row>
    <row r="68" spans="1:8" s="52" customFormat="1" ht="12.75" x14ac:dyDescent="0.2">
      <c r="A68" s="143" t="s">
        <v>120</v>
      </c>
      <c r="B68" s="144">
        <v>1</v>
      </c>
      <c r="C68" s="56">
        <v>30</v>
      </c>
      <c r="D68" s="54">
        <v>10</v>
      </c>
      <c r="E68" s="55">
        <v>12.96</v>
      </c>
      <c r="F68" s="54">
        <v>12</v>
      </c>
      <c r="G68" s="53">
        <f t="shared" si="11"/>
        <v>1048.8</v>
      </c>
      <c r="H68" s="60"/>
    </row>
    <row r="69" spans="1:8" s="52" customFormat="1" ht="12.75" x14ac:dyDescent="0.2">
      <c r="G69" s="146">
        <f>SUM(G62:G68)</f>
        <v>16256.4</v>
      </c>
      <c r="H69" s="60"/>
    </row>
    <row r="70" spans="1:8" s="52" customFormat="1" ht="12.75" x14ac:dyDescent="0.2">
      <c r="G70" s="147">
        <f>G59+G69</f>
        <v>33255.360000000001</v>
      </c>
    </row>
    <row r="71" spans="1:8" s="52" customFormat="1" ht="12.75" x14ac:dyDescent="0.2"/>
    <row r="72" spans="1:8" s="52" customFormat="1" ht="12.75" x14ac:dyDescent="0.2"/>
    <row r="73" spans="1:8" s="52" customFormat="1" ht="12.75" x14ac:dyDescent="0.2"/>
    <row r="74" spans="1:8" s="52" customFormat="1" ht="12.75" x14ac:dyDescent="0.2"/>
    <row r="75" spans="1:8" s="52" customFormat="1" ht="12.75" x14ac:dyDescent="0.2"/>
    <row r="76" spans="1:8" s="52" customFormat="1" ht="12.75" x14ac:dyDescent="0.2"/>
    <row r="77" spans="1:8" s="52" customFormat="1" ht="12.75" x14ac:dyDescent="0.2"/>
    <row r="78" spans="1:8" s="52" customFormat="1" ht="12.75" x14ac:dyDescent="0.2"/>
    <row r="79" spans="1:8" s="52" customFormat="1" ht="12.75" x14ac:dyDescent="0.2"/>
    <row r="80" spans="1:8" s="52" customFormat="1" ht="12.75" x14ac:dyDescent="0.2"/>
    <row r="81" s="52" customFormat="1" ht="12.75" x14ac:dyDescent="0.2"/>
    <row r="82" s="52" customFormat="1" ht="12.75" x14ac:dyDescent="0.2"/>
    <row r="83" s="52" customFormat="1" ht="12.75" x14ac:dyDescent="0.2"/>
    <row r="84" s="52" customFormat="1" ht="12.75" x14ac:dyDescent="0.2"/>
  </sheetData>
  <mergeCells count="10">
    <mergeCell ref="F47:G47"/>
    <mergeCell ref="H47:I47"/>
    <mergeCell ref="H48:I48"/>
    <mergeCell ref="A3:I3"/>
    <mergeCell ref="C23:G23"/>
    <mergeCell ref="H23:I23"/>
    <mergeCell ref="H26:I26"/>
    <mergeCell ref="A44:B44"/>
    <mergeCell ref="C46:G46"/>
    <mergeCell ref="H46:I4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D83F-1056-45FD-B900-7D3E91AD956F}">
  <dimension ref="A1:L45"/>
  <sheetViews>
    <sheetView topLeftCell="A6" workbookViewId="0">
      <selection activeCell="H8" sqref="H8"/>
    </sheetView>
  </sheetViews>
  <sheetFormatPr defaultColWidth="7.85546875" defaultRowHeight="15" x14ac:dyDescent="0.2"/>
  <cols>
    <col min="1" max="1" width="29.28515625" style="51" customWidth="1"/>
    <col min="2" max="2" width="14.42578125" style="51" customWidth="1"/>
    <col min="3" max="3" width="16" style="51" customWidth="1"/>
    <col min="4" max="5" width="13.7109375" style="51" customWidth="1"/>
    <col min="6" max="6" width="16.85546875" style="51" customWidth="1"/>
    <col min="7" max="7" width="15.140625" style="51" customWidth="1"/>
    <col min="8" max="8" width="13.7109375" style="51" customWidth="1"/>
    <col min="9" max="9" width="17" style="51" customWidth="1"/>
    <col min="10" max="10" width="13.140625" style="51" bestFit="1" customWidth="1"/>
    <col min="11" max="11" width="14.28515625" style="51" bestFit="1" customWidth="1"/>
    <col min="12" max="12" width="16.42578125" style="51" bestFit="1" customWidth="1"/>
    <col min="13" max="255" width="7.85546875" style="51"/>
    <col min="256" max="256" width="29.28515625" style="51" customWidth="1"/>
    <col min="257" max="257" width="14.42578125" style="51" customWidth="1"/>
    <col min="258" max="258" width="16" style="51" customWidth="1"/>
    <col min="259" max="260" width="13.7109375" style="51" customWidth="1"/>
    <col min="261" max="261" width="16.85546875" style="51" customWidth="1"/>
    <col min="262" max="262" width="15.140625" style="51" customWidth="1"/>
    <col min="263" max="263" width="13.7109375" style="51" customWidth="1"/>
    <col min="264" max="264" width="17" style="51" customWidth="1"/>
    <col min="265" max="265" width="13.140625" style="51" bestFit="1" customWidth="1"/>
    <col min="266" max="266" width="7.85546875" style="51"/>
    <col min="267" max="267" width="14.28515625" style="51" bestFit="1" customWidth="1"/>
    <col min="268" max="268" width="16.42578125" style="51" bestFit="1" customWidth="1"/>
    <col min="269" max="511" width="7.85546875" style="51"/>
    <col min="512" max="512" width="29.28515625" style="51" customWidth="1"/>
    <col min="513" max="513" width="14.42578125" style="51" customWidth="1"/>
    <col min="514" max="514" width="16" style="51" customWidth="1"/>
    <col min="515" max="516" width="13.7109375" style="51" customWidth="1"/>
    <col min="517" max="517" width="16.85546875" style="51" customWidth="1"/>
    <col min="518" max="518" width="15.140625" style="51" customWidth="1"/>
    <col min="519" max="519" width="13.7109375" style="51" customWidth="1"/>
    <col min="520" max="520" width="17" style="51" customWidth="1"/>
    <col min="521" max="521" width="13.140625" style="51" bestFit="1" customWidth="1"/>
    <col min="522" max="522" width="7.85546875" style="51"/>
    <col min="523" max="523" width="14.28515625" style="51" bestFit="1" customWidth="1"/>
    <col min="524" max="524" width="16.42578125" style="51" bestFit="1" customWidth="1"/>
    <col min="525" max="767" width="7.85546875" style="51"/>
    <col min="768" max="768" width="29.28515625" style="51" customWidth="1"/>
    <col min="769" max="769" width="14.42578125" style="51" customWidth="1"/>
    <col min="770" max="770" width="16" style="51" customWidth="1"/>
    <col min="771" max="772" width="13.7109375" style="51" customWidth="1"/>
    <col min="773" max="773" width="16.85546875" style="51" customWidth="1"/>
    <col min="774" max="774" width="15.140625" style="51" customWidth="1"/>
    <col min="775" max="775" width="13.7109375" style="51" customWidth="1"/>
    <col min="776" max="776" width="17" style="51" customWidth="1"/>
    <col min="777" max="777" width="13.140625" style="51" bestFit="1" customWidth="1"/>
    <col min="778" max="778" width="7.85546875" style="51"/>
    <col min="779" max="779" width="14.28515625" style="51" bestFit="1" customWidth="1"/>
    <col min="780" max="780" width="16.42578125" style="51" bestFit="1" customWidth="1"/>
    <col min="781" max="1023" width="7.85546875" style="51"/>
    <col min="1024" max="1024" width="29.28515625" style="51" customWidth="1"/>
    <col min="1025" max="1025" width="14.42578125" style="51" customWidth="1"/>
    <col min="1026" max="1026" width="16" style="51" customWidth="1"/>
    <col min="1027" max="1028" width="13.7109375" style="51" customWidth="1"/>
    <col min="1029" max="1029" width="16.85546875" style="51" customWidth="1"/>
    <col min="1030" max="1030" width="15.140625" style="51" customWidth="1"/>
    <col min="1031" max="1031" width="13.7109375" style="51" customWidth="1"/>
    <col min="1032" max="1032" width="17" style="51" customWidth="1"/>
    <col min="1033" max="1033" width="13.140625" style="51" bestFit="1" customWidth="1"/>
    <col min="1034" max="1034" width="7.85546875" style="51"/>
    <col min="1035" max="1035" width="14.28515625" style="51" bestFit="1" customWidth="1"/>
    <col min="1036" max="1036" width="16.42578125" style="51" bestFit="1" customWidth="1"/>
    <col min="1037" max="1279" width="7.85546875" style="51"/>
    <col min="1280" max="1280" width="29.28515625" style="51" customWidth="1"/>
    <col min="1281" max="1281" width="14.42578125" style="51" customWidth="1"/>
    <col min="1282" max="1282" width="16" style="51" customWidth="1"/>
    <col min="1283" max="1284" width="13.7109375" style="51" customWidth="1"/>
    <col min="1285" max="1285" width="16.85546875" style="51" customWidth="1"/>
    <col min="1286" max="1286" width="15.140625" style="51" customWidth="1"/>
    <col min="1287" max="1287" width="13.7109375" style="51" customWidth="1"/>
    <col min="1288" max="1288" width="17" style="51" customWidth="1"/>
    <col min="1289" max="1289" width="13.140625" style="51" bestFit="1" customWidth="1"/>
    <col min="1290" max="1290" width="7.85546875" style="51"/>
    <col min="1291" max="1291" width="14.28515625" style="51" bestFit="1" customWidth="1"/>
    <col min="1292" max="1292" width="16.42578125" style="51" bestFit="1" customWidth="1"/>
    <col min="1293" max="1535" width="7.85546875" style="51"/>
    <col min="1536" max="1536" width="29.28515625" style="51" customWidth="1"/>
    <col min="1537" max="1537" width="14.42578125" style="51" customWidth="1"/>
    <col min="1538" max="1538" width="16" style="51" customWidth="1"/>
    <col min="1539" max="1540" width="13.7109375" style="51" customWidth="1"/>
    <col min="1541" max="1541" width="16.85546875" style="51" customWidth="1"/>
    <col min="1542" max="1542" width="15.140625" style="51" customWidth="1"/>
    <col min="1543" max="1543" width="13.7109375" style="51" customWidth="1"/>
    <col min="1544" max="1544" width="17" style="51" customWidth="1"/>
    <col min="1545" max="1545" width="13.140625" style="51" bestFit="1" customWidth="1"/>
    <col min="1546" max="1546" width="7.85546875" style="51"/>
    <col min="1547" max="1547" width="14.28515625" style="51" bestFit="1" customWidth="1"/>
    <col min="1548" max="1548" width="16.42578125" style="51" bestFit="1" customWidth="1"/>
    <col min="1549" max="1791" width="7.85546875" style="51"/>
    <col min="1792" max="1792" width="29.28515625" style="51" customWidth="1"/>
    <col min="1793" max="1793" width="14.42578125" style="51" customWidth="1"/>
    <col min="1794" max="1794" width="16" style="51" customWidth="1"/>
    <col min="1795" max="1796" width="13.7109375" style="51" customWidth="1"/>
    <col min="1797" max="1797" width="16.85546875" style="51" customWidth="1"/>
    <col min="1798" max="1798" width="15.140625" style="51" customWidth="1"/>
    <col min="1799" max="1799" width="13.7109375" style="51" customWidth="1"/>
    <col min="1800" max="1800" width="17" style="51" customWidth="1"/>
    <col min="1801" max="1801" width="13.140625" style="51" bestFit="1" customWidth="1"/>
    <col min="1802" max="1802" width="7.85546875" style="51"/>
    <col min="1803" max="1803" width="14.28515625" style="51" bestFit="1" customWidth="1"/>
    <col min="1804" max="1804" width="16.42578125" style="51" bestFit="1" customWidth="1"/>
    <col min="1805" max="2047" width="7.85546875" style="51"/>
    <col min="2048" max="2048" width="29.28515625" style="51" customWidth="1"/>
    <col min="2049" max="2049" width="14.42578125" style="51" customWidth="1"/>
    <col min="2050" max="2050" width="16" style="51" customWidth="1"/>
    <col min="2051" max="2052" width="13.7109375" style="51" customWidth="1"/>
    <col min="2053" max="2053" width="16.85546875" style="51" customWidth="1"/>
    <col min="2054" max="2054" width="15.140625" style="51" customWidth="1"/>
    <col min="2055" max="2055" width="13.7109375" style="51" customWidth="1"/>
    <col min="2056" max="2056" width="17" style="51" customWidth="1"/>
    <col min="2057" max="2057" width="13.140625" style="51" bestFit="1" customWidth="1"/>
    <col min="2058" max="2058" width="7.85546875" style="51"/>
    <col min="2059" max="2059" width="14.28515625" style="51" bestFit="1" customWidth="1"/>
    <col min="2060" max="2060" width="16.42578125" style="51" bestFit="1" customWidth="1"/>
    <col min="2061" max="2303" width="7.85546875" style="51"/>
    <col min="2304" max="2304" width="29.28515625" style="51" customWidth="1"/>
    <col min="2305" max="2305" width="14.42578125" style="51" customWidth="1"/>
    <col min="2306" max="2306" width="16" style="51" customWidth="1"/>
    <col min="2307" max="2308" width="13.7109375" style="51" customWidth="1"/>
    <col min="2309" max="2309" width="16.85546875" style="51" customWidth="1"/>
    <col min="2310" max="2310" width="15.140625" style="51" customWidth="1"/>
    <col min="2311" max="2311" width="13.7109375" style="51" customWidth="1"/>
    <col min="2312" max="2312" width="17" style="51" customWidth="1"/>
    <col min="2313" max="2313" width="13.140625" style="51" bestFit="1" customWidth="1"/>
    <col min="2314" max="2314" width="7.85546875" style="51"/>
    <col min="2315" max="2315" width="14.28515625" style="51" bestFit="1" customWidth="1"/>
    <col min="2316" max="2316" width="16.42578125" style="51" bestFit="1" customWidth="1"/>
    <col min="2317" max="2559" width="7.85546875" style="51"/>
    <col min="2560" max="2560" width="29.28515625" style="51" customWidth="1"/>
    <col min="2561" max="2561" width="14.42578125" style="51" customWidth="1"/>
    <col min="2562" max="2562" width="16" style="51" customWidth="1"/>
    <col min="2563" max="2564" width="13.7109375" style="51" customWidth="1"/>
    <col min="2565" max="2565" width="16.85546875" style="51" customWidth="1"/>
    <col min="2566" max="2566" width="15.140625" style="51" customWidth="1"/>
    <col min="2567" max="2567" width="13.7109375" style="51" customWidth="1"/>
    <col min="2568" max="2568" width="17" style="51" customWidth="1"/>
    <col min="2569" max="2569" width="13.140625" style="51" bestFit="1" customWidth="1"/>
    <col min="2570" max="2570" width="7.85546875" style="51"/>
    <col min="2571" max="2571" width="14.28515625" style="51" bestFit="1" customWidth="1"/>
    <col min="2572" max="2572" width="16.42578125" style="51" bestFit="1" customWidth="1"/>
    <col min="2573" max="2815" width="7.85546875" style="51"/>
    <col min="2816" max="2816" width="29.28515625" style="51" customWidth="1"/>
    <col min="2817" max="2817" width="14.42578125" style="51" customWidth="1"/>
    <col min="2818" max="2818" width="16" style="51" customWidth="1"/>
    <col min="2819" max="2820" width="13.7109375" style="51" customWidth="1"/>
    <col min="2821" max="2821" width="16.85546875" style="51" customWidth="1"/>
    <col min="2822" max="2822" width="15.140625" style="51" customWidth="1"/>
    <col min="2823" max="2823" width="13.7109375" style="51" customWidth="1"/>
    <col min="2824" max="2824" width="17" style="51" customWidth="1"/>
    <col min="2825" max="2825" width="13.140625" style="51" bestFit="1" customWidth="1"/>
    <col min="2826" max="2826" width="7.85546875" style="51"/>
    <col min="2827" max="2827" width="14.28515625" style="51" bestFit="1" customWidth="1"/>
    <col min="2828" max="2828" width="16.42578125" style="51" bestFit="1" customWidth="1"/>
    <col min="2829" max="3071" width="7.85546875" style="51"/>
    <col min="3072" max="3072" width="29.28515625" style="51" customWidth="1"/>
    <col min="3073" max="3073" width="14.42578125" style="51" customWidth="1"/>
    <col min="3074" max="3074" width="16" style="51" customWidth="1"/>
    <col min="3075" max="3076" width="13.7109375" style="51" customWidth="1"/>
    <col min="3077" max="3077" width="16.85546875" style="51" customWidth="1"/>
    <col min="3078" max="3078" width="15.140625" style="51" customWidth="1"/>
    <col min="3079" max="3079" width="13.7109375" style="51" customWidth="1"/>
    <col min="3080" max="3080" width="17" style="51" customWidth="1"/>
    <col min="3081" max="3081" width="13.140625" style="51" bestFit="1" customWidth="1"/>
    <col min="3082" max="3082" width="7.85546875" style="51"/>
    <col min="3083" max="3083" width="14.28515625" style="51" bestFit="1" customWidth="1"/>
    <col min="3084" max="3084" width="16.42578125" style="51" bestFit="1" customWidth="1"/>
    <col min="3085" max="3327" width="7.85546875" style="51"/>
    <col min="3328" max="3328" width="29.28515625" style="51" customWidth="1"/>
    <col min="3329" max="3329" width="14.42578125" style="51" customWidth="1"/>
    <col min="3330" max="3330" width="16" style="51" customWidth="1"/>
    <col min="3331" max="3332" width="13.7109375" style="51" customWidth="1"/>
    <col min="3333" max="3333" width="16.85546875" style="51" customWidth="1"/>
    <col min="3334" max="3334" width="15.140625" style="51" customWidth="1"/>
    <col min="3335" max="3335" width="13.7109375" style="51" customWidth="1"/>
    <col min="3336" max="3336" width="17" style="51" customWidth="1"/>
    <col min="3337" max="3337" width="13.140625" style="51" bestFit="1" customWidth="1"/>
    <col min="3338" max="3338" width="7.85546875" style="51"/>
    <col min="3339" max="3339" width="14.28515625" style="51" bestFit="1" customWidth="1"/>
    <col min="3340" max="3340" width="16.42578125" style="51" bestFit="1" customWidth="1"/>
    <col min="3341" max="3583" width="7.85546875" style="51"/>
    <col min="3584" max="3584" width="29.28515625" style="51" customWidth="1"/>
    <col min="3585" max="3585" width="14.42578125" style="51" customWidth="1"/>
    <col min="3586" max="3586" width="16" style="51" customWidth="1"/>
    <col min="3587" max="3588" width="13.7109375" style="51" customWidth="1"/>
    <col min="3589" max="3589" width="16.85546875" style="51" customWidth="1"/>
    <col min="3590" max="3590" width="15.140625" style="51" customWidth="1"/>
    <col min="3591" max="3591" width="13.7109375" style="51" customWidth="1"/>
    <col min="3592" max="3592" width="17" style="51" customWidth="1"/>
    <col min="3593" max="3593" width="13.140625" style="51" bestFit="1" customWidth="1"/>
    <col min="3594" max="3594" width="7.85546875" style="51"/>
    <col min="3595" max="3595" width="14.28515625" style="51" bestFit="1" customWidth="1"/>
    <col min="3596" max="3596" width="16.42578125" style="51" bestFit="1" customWidth="1"/>
    <col min="3597" max="3839" width="7.85546875" style="51"/>
    <col min="3840" max="3840" width="29.28515625" style="51" customWidth="1"/>
    <col min="3841" max="3841" width="14.42578125" style="51" customWidth="1"/>
    <col min="3842" max="3842" width="16" style="51" customWidth="1"/>
    <col min="3843" max="3844" width="13.7109375" style="51" customWidth="1"/>
    <col min="3845" max="3845" width="16.85546875" style="51" customWidth="1"/>
    <col min="3846" max="3846" width="15.140625" style="51" customWidth="1"/>
    <col min="3847" max="3847" width="13.7109375" style="51" customWidth="1"/>
    <col min="3848" max="3848" width="17" style="51" customWidth="1"/>
    <col min="3849" max="3849" width="13.140625" style="51" bestFit="1" customWidth="1"/>
    <col min="3850" max="3850" width="7.85546875" style="51"/>
    <col min="3851" max="3851" width="14.28515625" style="51" bestFit="1" customWidth="1"/>
    <col min="3852" max="3852" width="16.42578125" style="51" bestFit="1" customWidth="1"/>
    <col min="3853" max="4095" width="7.85546875" style="51"/>
    <col min="4096" max="4096" width="29.28515625" style="51" customWidth="1"/>
    <col min="4097" max="4097" width="14.42578125" style="51" customWidth="1"/>
    <col min="4098" max="4098" width="16" style="51" customWidth="1"/>
    <col min="4099" max="4100" width="13.7109375" style="51" customWidth="1"/>
    <col min="4101" max="4101" width="16.85546875" style="51" customWidth="1"/>
    <col min="4102" max="4102" width="15.140625" style="51" customWidth="1"/>
    <col min="4103" max="4103" width="13.7109375" style="51" customWidth="1"/>
    <col min="4104" max="4104" width="17" style="51" customWidth="1"/>
    <col min="4105" max="4105" width="13.140625" style="51" bestFit="1" customWidth="1"/>
    <col min="4106" max="4106" width="7.85546875" style="51"/>
    <col min="4107" max="4107" width="14.28515625" style="51" bestFit="1" customWidth="1"/>
    <col min="4108" max="4108" width="16.42578125" style="51" bestFit="1" customWidth="1"/>
    <col min="4109" max="4351" width="7.85546875" style="51"/>
    <col min="4352" max="4352" width="29.28515625" style="51" customWidth="1"/>
    <col min="4353" max="4353" width="14.42578125" style="51" customWidth="1"/>
    <col min="4354" max="4354" width="16" style="51" customWidth="1"/>
    <col min="4355" max="4356" width="13.7109375" style="51" customWidth="1"/>
    <col min="4357" max="4357" width="16.85546875" style="51" customWidth="1"/>
    <col min="4358" max="4358" width="15.140625" style="51" customWidth="1"/>
    <col min="4359" max="4359" width="13.7109375" style="51" customWidth="1"/>
    <col min="4360" max="4360" width="17" style="51" customWidth="1"/>
    <col min="4361" max="4361" width="13.140625" style="51" bestFit="1" customWidth="1"/>
    <col min="4362" max="4362" width="7.85546875" style="51"/>
    <col min="4363" max="4363" width="14.28515625" style="51" bestFit="1" customWidth="1"/>
    <col min="4364" max="4364" width="16.42578125" style="51" bestFit="1" customWidth="1"/>
    <col min="4365" max="4607" width="7.85546875" style="51"/>
    <col min="4608" max="4608" width="29.28515625" style="51" customWidth="1"/>
    <col min="4609" max="4609" width="14.42578125" style="51" customWidth="1"/>
    <col min="4610" max="4610" width="16" style="51" customWidth="1"/>
    <col min="4611" max="4612" width="13.7109375" style="51" customWidth="1"/>
    <col min="4613" max="4613" width="16.85546875" style="51" customWidth="1"/>
    <col min="4614" max="4614" width="15.140625" style="51" customWidth="1"/>
    <col min="4615" max="4615" width="13.7109375" style="51" customWidth="1"/>
    <col min="4616" max="4616" width="17" style="51" customWidth="1"/>
    <col min="4617" max="4617" width="13.140625" style="51" bestFit="1" customWidth="1"/>
    <col min="4618" max="4618" width="7.85546875" style="51"/>
    <col min="4619" max="4619" width="14.28515625" style="51" bestFit="1" customWidth="1"/>
    <col min="4620" max="4620" width="16.42578125" style="51" bestFit="1" customWidth="1"/>
    <col min="4621" max="4863" width="7.85546875" style="51"/>
    <col min="4864" max="4864" width="29.28515625" style="51" customWidth="1"/>
    <col min="4865" max="4865" width="14.42578125" style="51" customWidth="1"/>
    <col min="4866" max="4866" width="16" style="51" customWidth="1"/>
    <col min="4867" max="4868" width="13.7109375" style="51" customWidth="1"/>
    <col min="4869" max="4869" width="16.85546875" style="51" customWidth="1"/>
    <col min="4870" max="4870" width="15.140625" style="51" customWidth="1"/>
    <col min="4871" max="4871" width="13.7109375" style="51" customWidth="1"/>
    <col min="4872" max="4872" width="17" style="51" customWidth="1"/>
    <col min="4873" max="4873" width="13.140625" style="51" bestFit="1" customWidth="1"/>
    <col min="4874" max="4874" width="7.85546875" style="51"/>
    <col min="4875" max="4875" width="14.28515625" style="51" bestFit="1" customWidth="1"/>
    <col min="4876" max="4876" width="16.42578125" style="51" bestFit="1" customWidth="1"/>
    <col min="4877" max="5119" width="7.85546875" style="51"/>
    <col min="5120" max="5120" width="29.28515625" style="51" customWidth="1"/>
    <col min="5121" max="5121" width="14.42578125" style="51" customWidth="1"/>
    <col min="5122" max="5122" width="16" style="51" customWidth="1"/>
    <col min="5123" max="5124" width="13.7109375" style="51" customWidth="1"/>
    <col min="5125" max="5125" width="16.85546875" style="51" customWidth="1"/>
    <col min="5126" max="5126" width="15.140625" style="51" customWidth="1"/>
    <col min="5127" max="5127" width="13.7109375" style="51" customWidth="1"/>
    <col min="5128" max="5128" width="17" style="51" customWidth="1"/>
    <col min="5129" max="5129" width="13.140625" style="51" bestFit="1" customWidth="1"/>
    <col min="5130" max="5130" width="7.85546875" style="51"/>
    <col min="5131" max="5131" width="14.28515625" style="51" bestFit="1" customWidth="1"/>
    <col min="5132" max="5132" width="16.42578125" style="51" bestFit="1" customWidth="1"/>
    <col min="5133" max="5375" width="7.85546875" style="51"/>
    <col min="5376" max="5376" width="29.28515625" style="51" customWidth="1"/>
    <col min="5377" max="5377" width="14.42578125" style="51" customWidth="1"/>
    <col min="5378" max="5378" width="16" style="51" customWidth="1"/>
    <col min="5379" max="5380" width="13.7109375" style="51" customWidth="1"/>
    <col min="5381" max="5381" width="16.85546875" style="51" customWidth="1"/>
    <col min="5382" max="5382" width="15.140625" style="51" customWidth="1"/>
    <col min="5383" max="5383" width="13.7109375" style="51" customWidth="1"/>
    <col min="5384" max="5384" width="17" style="51" customWidth="1"/>
    <col min="5385" max="5385" width="13.140625" style="51" bestFit="1" customWidth="1"/>
    <col min="5386" max="5386" width="7.85546875" style="51"/>
    <col min="5387" max="5387" width="14.28515625" style="51" bestFit="1" customWidth="1"/>
    <col min="5388" max="5388" width="16.42578125" style="51" bestFit="1" customWidth="1"/>
    <col min="5389" max="5631" width="7.85546875" style="51"/>
    <col min="5632" max="5632" width="29.28515625" style="51" customWidth="1"/>
    <col min="5633" max="5633" width="14.42578125" style="51" customWidth="1"/>
    <col min="5634" max="5634" width="16" style="51" customWidth="1"/>
    <col min="5635" max="5636" width="13.7109375" style="51" customWidth="1"/>
    <col min="5637" max="5637" width="16.85546875" style="51" customWidth="1"/>
    <col min="5638" max="5638" width="15.140625" style="51" customWidth="1"/>
    <col min="5639" max="5639" width="13.7109375" style="51" customWidth="1"/>
    <col min="5640" max="5640" width="17" style="51" customWidth="1"/>
    <col min="5641" max="5641" width="13.140625" style="51" bestFit="1" customWidth="1"/>
    <col min="5642" max="5642" width="7.85546875" style="51"/>
    <col min="5643" max="5643" width="14.28515625" style="51" bestFit="1" customWidth="1"/>
    <col min="5644" max="5644" width="16.42578125" style="51" bestFit="1" customWidth="1"/>
    <col min="5645" max="5887" width="7.85546875" style="51"/>
    <col min="5888" max="5888" width="29.28515625" style="51" customWidth="1"/>
    <col min="5889" max="5889" width="14.42578125" style="51" customWidth="1"/>
    <col min="5890" max="5890" width="16" style="51" customWidth="1"/>
    <col min="5891" max="5892" width="13.7109375" style="51" customWidth="1"/>
    <col min="5893" max="5893" width="16.85546875" style="51" customWidth="1"/>
    <col min="5894" max="5894" width="15.140625" style="51" customWidth="1"/>
    <col min="5895" max="5895" width="13.7109375" style="51" customWidth="1"/>
    <col min="5896" max="5896" width="17" style="51" customWidth="1"/>
    <col min="5897" max="5897" width="13.140625" style="51" bestFit="1" customWidth="1"/>
    <col min="5898" max="5898" width="7.85546875" style="51"/>
    <col min="5899" max="5899" width="14.28515625" style="51" bestFit="1" customWidth="1"/>
    <col min="5900" max="5900" width="16.42578125" style="51" bestFit="1" customWidth="1"/>
    <col min="5901" max="6143" width="7.85546875" style="51"/>
    <col min="6144" max="6144" width="29.28515625" style="51" customWidth="1"/>
    <col min="6145" max="6145" width="14.42578125" style="51" customWidth="1"/>
    <col min="6146" max="6146" width="16" style="51" customWidth="1"/>
    <col min="6147" max="6148" width="13.7109375" style="51" customWidth="1"/>
    <col min="6149" max="6149" width="16.85546875" style="51" customWidth="1"/>
    <col min="6150" max="6150" width="15.140625" style="51" customWidth="1"/>
    <col min="6151" max="6151" width="13.7109375" style="51" customWidth="1"/>
    <col min="6152" max="6152" width="17" style="51" customWidth="1"/>
    <col min="6153" max="6153" width="13.140625" style="51" bestFit="1" customWidth="1"/>
    <col min="6154" max="6154" width="7.85546875" style="51"/>
    <col min="6155" max="6155" width="14.28515625" style="51" bestFit="1" customWidth="1"/>
    <col min="6156" max="6156" width="16.42578125" style="51" bestFit="1" customWidth="1"/>
    <col min="6157" max="6399" width="7.85546875" style="51"/>
    <col min="6400" max="6400" width="29.28515625" style="51" customWidth="1"/>
    <col min="6401" max="6401" width="14.42578125" style="51" customWidth="1"/>
    <col min="6402" max="6402" width="16" style="51" customWidth="1"/>
    <col min="6403" max="6404" width="13.7109375" style="51" customWidth="1"/>
    <col min="6405" max="6405" width="16.85546875" style="51" customWidth="1"/>
    <col min="6406" max="6406" width="15.140625" style="51" customWidth="1"/>
    <col min="6407" max="6407" width="13.7109375" style="51" customWidth="1"/>
    <col min="6408" max="6408" width="17" style="51" customWidth="1"/>
    <col min="6409" max="6409" width="13.140625" style="51" bestFit="1" customWidth="1"/>
    <col min="6410" max="6410" width="7.85546875" style="51"/>
    <col min="6411" max="6411" width="14.28515625" style="51" bestFit="1" customWidth="1"/>
    <col min="6412" max="6412" width="16.42578125" style="51" bestFit="1" customWidth="1"/>
    <col min="6413" max="6655" width="7.85546875" style="51"/>
    <col min="6656" max="6656" width="29.28515625" style="51" customWidth="1"/>
    <col min="6657" max="6657" width="14.42578125" style="51" customWidth="1"/>
    <col min="6658" max="6658" width="16" style="51" customWidth="1"/>
    <col min="6659" max="6660" width="13.7109375" style="51" customWidth="1"/>
    <col min="6661" max="6661" width="16.85546875" style="51" customWidth="1"/>
    <col min="6662" max="6662" width="15.140625" style="51" customWidth="1"/>
    <col min="6663" max="6663" width="13.7109375" style="51" customWidth="1"/>
    <col min="6664" max="6664" width="17" style="51" customWidth="1"/>
    <col min="6665" max="6665" width="13.140625" style="51" bestFit="1" customWidth="1"/>
    <col min="6666" max="6666" width="7.85546875" style="51"/>
    <col min="6667" max="6667" width="14.28515625" style="51" bestFit="1" customWidth="1"/>
    <col min="6668" max="6668" width="16.42578125" style="51" bestFit="1" customWidth="1"/>
    <col min="6669" max="6911" width="7.85546875" style="51"/>
    <col min="6912" max="6912" width="29.28515625" style="51" customWidth="1"/>
    <col min="6913" max="6913" width="14.42578125" style="51" customWidth="1"/>
    <col min="6914" max="6914" width="16" style="51" customWidth="1"/>
    <col min="6915" max="6916" width="13.7109375" style="51" customWidth="1"/>
    <col min="6917" max="6917" width="16.85546875" style="51" customWidth="1"/>
    <col min="6918" max="6918" width="15.140625" style="51" customWidth="1"/>
    <col min="6919" max="6919" width="13.7109375" style="51" customWidth="1"/>
    <col min="6920" max="6920" width="17" style="51" customWidth="1"/>
    <col min="6921" max="6921" width="13.140625" style="51" bestFit="1" customWidth="1"/>
    <col min="6922" max="6922" width="7.85546875" style="51"/>
    <col min="6923" max="6923" width="14.28515625" style="51" bestFit="1" customWidth="1"/>
    <col min="6924" max="6924" width="16.42578125" style="51" bestFit="1" customWidth="1"/>
    <col min="6925" max="7167" width="7.85546875" style="51"/>
    <col min="7168" max="7168" width="29.28515625" style="51" customWidth="1"/>
    <col min="7169" max="7169" width="14.42578125" style="51" customWidth="1"/>
    <col min="7170" max="7170" width="16" style="51" customWidth="1"/>
    <col min="7171" max="7172" width="13.7109375" style="51" customWidth="1"/>
    <col min="7173" max="7173" width="16.85546875" style="51" customWidth="1"/>
    <col min="7174" max="7174" width="15.140625" style="51" customWidth="1"/>
    <col min="7175" max="7175" width="13.7109375" style="51" customWidth="1"/>
    <col min="7176" max="7176" width="17" style="51" customWidth="1"/>
    <col min="7177" max="7177" width="13.140625" style="51" bestFit="1" customWidth="1"/>
    <col min="7178" max="7178" width="7.85546875" style="51"/>
    <col min="7179" max="7179" width="14.28515625" style="51" bestFit="1" customWidth="1"/>
    <col min="7180" max="7180" width="16.42578125" style="51" bestFit="1" customWidth="1"/>
    <col min="7181" max="7423" width="7.85546875" style="51"/>
    <col min="7424" max="7424" width="29.28515625" style="51" customWidth="1"/>
    <col min="7425" max="7425" width="14.42578125" style="51" customWidth="1"/>
    <col min="7426" max="7426" width="16" style="51" customWidth="1"/>
    <col min="7427" max="7428" width="13.7109375" style="51" customWidth="1"/>
    <col min="7429" max="7429" width="16.85546875" style="51" customWidth="1"/>
    <col min="7430" max="7430" width="15.140625" style="51" customWidth="1"/>
    <col min="7431" max="7431" width="13.7109375" style="51" customWidth="1"/>
    <col min="7432" max="7432" width="17" style="51" customWidth="1"/>
    <col min="7433" max="7433" width="13.140625" style="51" bestFit="1" customWidth="1"/>
    <col min="7434" max="7434" width="7.85546875" style="51"/>
    <col min="7435" max="7435" width="14.28515625" style="51" bestFit="1" customWidth="1"/>
    <col min="7436" max="7436" width="16.42578125" style="51" bestFit="1" customWidth="1"/>
    <col min="7437" max="7679" width="7.85546875" style="51"/>
    <col min="7680" max="7680" width="29.28515625" style="51" customWidth="1"/>
    <col min="7681" max="7681" width="14.42578125" style="51" customWidth="1"/>
    <col min="7682" max="7682" width="16" style="51" customWidth="1"/>
    <col min="7683" max="7684" width="13.7109375" style="51" customWidth="1"/>
    <col min="7685" max="7685" width="16.85546875" style="51" customWidth="1"/>
    <col min="7686" max="7686" width="15.140625" style="51" customWidth="1"/>
    <col min="7687" max="7687" width="13.7109375" style="51" customWidth="1"/>
    <col min="7688" max="7688" width="17" style="51" customWidth="1"/>
    <col min="7689" max="7689" width="13.140625" style="51" bestFit="1" customWidth="1"/>
    <col min="7690" max="7690" width="7.85546875" style="51"/>
    <col min="7691" max="7691" width="14.28515625" style="51" bestFit="1" customWidth="1"/>
    <col min="7692" max="7692" width="16.42578125" style="51" bestFit="1" customWidth="1"/>
    <col min="7693" max="7935" width="7.85546875" style="51"/>
    <col min="7936" max="7936" width="29.28515625" style="51" customWidth="1"/>
    <col min="7937" max="7937" width="14.42578125" style="51" customWidth="1"/>
    <col min="7938" max="7938" width="16" style="51" customWidth="1"/>
    <col min="7939" max="7940" width="13.7109375" style="51" customWidth="1"/>
    <col min="7941" max="7941" width="16.85546875" style="51" customWidth="1"/>
    <col min="7942" max="7942" width="15.140625" style="51" customWidth="1"/>
    <col min="7943" max="7943" width="13.7109375" style="51" customWidth="1"/>
    <col min="7944" max="7944" width="17" style="51" customWidth="1"/>
    <col min="7945" max="7945" width="13.140625" style="51" bestFit="1" customWidth="1"/>
    <col min="7946" max="7946" width="7.85546875" style="51"/>
    <col min="7947" max="7947" width="14.28515625" style="51" bestFit="1" customWidth="1"/>
    <col min="7948" max="7948" width="16.42578125" style="51" bestFit="1" customWidth="1"/>
    <col min="7949" max="8191" width="7.85546875" style="51"/>
    <col min="8192" max="8192" width="29.28515625" style="51" customWidth="1"/>
    <col min="8193" max="8193" width="14.42578125" style="51" customWidth="1"/>
    <col min="8194" max="8194" width="16" style="51" customWidth="1"/>
    <col min="8195" max="8196" width="13.7109375" style="51" customWidth="1"/>
    <col min="8197" max="8197" width="16.85546875" style="51" customWidth="1"/>
    <col min="8198" max="8198" width="15.140625" style="51" customWidth="1"/>
    <col min="8199" max="8199" width="13.7109375" style="51" customWidth="1"/>
    <col min="8200" max="8200" width="17" style="51" customWidth="1"/>
    <col min="8201" max="8201" width="13.140625" style="51" bestFit="1" customWidth="1"/>
    <col min="8202" max="8202" width="7.85546875" style="51"/>
    <col min="8203" max="8203" width="14.28515625" style="51" bestFit="1" customWidth="1"/>
    <col min="8204" max="8204" width="16.42578125" style="51" bestFit="1" customWidth="1"/>
    <col min="8205" max="8447" width="7.85546875" style="51"/>
    <col min="8448" max="8448" width="29.28515625" style="51" customWidth="1"/>
    <col min="8449" max="8449" width="14.42578125" style="51" customWidth="1"/>
    <col min="8450" max="8450" width="16" style="51" customWidth="1"/>
    <col min="8451" max="8452" width="13.7109375" style="51" customWidth="1"/>
    <col min="8453" max="8453" width="16.85546875" style="51" customWidth="1"/>
    <col min="8454" max="8454" width="15.140625" style="51" customWidth="1"/>
    <col min="8455" max="8455" width="13.7109375" style="51" customWidth="1"/>
    <col min="8456" max="8456" width="17" style="51" customWidth="1"/>
    <col min="8457" max="8457" width="13.140625" style="51" bestFit="1" customWidth="1"/>
    <col min="8458" max="8458" width="7.85546875" style="51"/>
    <col min="8459" max="8459" width="14.28515625" style="51" bestFit="1" customWidth="1"/>
    <col min="8460" max="8460" width="16.42578125" style="51" bestFit="1" customWidth="1"/>
    <col min="8461" max="8703" width="7.85546875" style="51"/>
    <col min="8704" max="8704" width="29.28515625" style="51" customWidth="1"/>
    <col min="8705" max="8705" width="14.42578125" style="51" customWidth="1"/>
    <col min="8706" max="8706" width="16" style="51" customWidth="1"/>
    <col min="8707" max="8708" width="13.7109375" style="51" customWidth="1"/>
    <col min="8709" max="8709" width="16.85546875" style="51" customWidth="1"/>
    <col min="8710" max="8710" width="15.140625" style="51" customWidth="1"/>
    <col min="8711" max="8711" width="13.7109375" style="51" customWidth="1"/>
    <col min="8712" max="8712" width="17" style="51" customWidth="1"/>
    <col min="8713" max="8713" width="13.140625" style="51" bestFit="1" customWidth="1"/>
    <col min="8714" max="8714" width="7.85546875" style="51"/>
    <col min="8715" max="8715" width="14.28515625" style="51" bestFit="1" customWidth="1"/>
    <col min="8716" max="8716" width="16.42578125" style="51" bestFit="1" customWidth="1"/>
    <col min="8717" max="8959" width="7.85546875" style="51"/>
    <col min="8960" max="8960" width="29.28515625" style="51" customWidth="1"/>
    <col min="8961" max="8961" width="14.42578125" style="51" customWidth="1"/>
    <col min="8962" max="8962" width="16" style="51" customWidth="1"/>
    <col min="8963" max="8964" width="13.7109375" style="51" customWidth="1"/>
    <col min="8965" max="8965" width="16.85546875" style="51" customWidth="1"/>
    <col min="8966" max="8966" width="15.140625" style="51" customWidth="1"/>
    <col min="8967" max="8967" width="13.7109375" style="51" customWidth="1"/>
    <col min="8968" max="8968" width="17" style="51" customWidth="1"/>
    <col min="8969" max="8969" width="13.140625" style="51" bestFit="1" customWidth="1"/>
    <col min="8970" max="8970" width="7.85546875" style="51"/>
    <col min="8971" max="8971" width="14.28515625" style="51" bestFit="1" customWidth="1"/>
    <col min="8972" max="8972" width="16.42578125" style="51" bestFit="1" customWidth="1"/>
    <col min="8973" max="9215" width="7.85546875" style="51"/>
    <col min="9216" max="9216" width="29.28515625" style="51" customWidth="1"/>
    <col min="9217" max="9217" width="14.42578125" style="51" customWidth="1"/>
    <col min="9218" max="9218" width="16" style="51" customWidth="1"/>
    <col min="9219" max="9220" width="13.7109375" style="51" customWidth="1"/>
    <col min="9221" max="9221" width="16.85546875" style="51" customWidth="1"/>
    <col min="9222" max="9222" width="15.140625" style="51" customWidth="1"/>
    <col min="9223" max="9223" width="13.7109375" style="51" customWidth="1"/>
    <col min="9224" max="9224" width="17" style="51" customWidth="1"/>
    <col min="9225" max="9225" width="13.140625" style="51" bestFit="1" customWidth="1"/>
    <col min="9226" max="9226" width="7.85546875" style="51"/>
    <col min="9227" max="9227" width="14.28515625" style="51" bestFit="1" customWidth="1"/>
    <col min="9228" max="9228" width="16.42578125" style="51" bestFit="1" customWidth="1"/>
    <col min="9229" max="9471" width="7.85546875" style="51"/>
    <col min="9472" max="9472" width="29.28515625" style="51" customWidth="1"/>
    <col min="9473" max="9473" width="14.42578125" style="51" customWidth="1"/>
    <col min="9474" max="9474" width="16" style="51" customWidth="1"/>
    <col min="9475" max="9476" width="13.7109375" style="51" customWidth="1"/>
    <col min="9477" max="9477" width="16.85546875" style="51" customWidth="1"/>
    <col min="9478" max="9478" width="15.140625" style="51" customWidth="1"/>
    <col min="9479" max="9479" width="13.7109375" style="51" customWidth="1"/>
    <col min="9480" max="9480" width="17" style="51" customWidth="1"/>
    <col min="9481" max="9481" width="13.140625" style="51" bestFit="1" customWidth="1"/>
    <col min="9482" max="9482" width="7.85546875" style="51"/>
    <col min="9483" max="9483" width="14.28515625" style="51" bestFit="1" customWidth="1"/>
    <col min="9484" max="9484" width="16.42578125" style="51" bestFit="1" customWidth="1"/>
    <col min="9485" max="9727" width="7.85546875" style="51"/>
    <col min="9728" max="9728" width="29.28515625" style="51" customWidth="1"/>
    <col min="9729" max="9729" width="14.42578125" style="51" customWidth="1"/>
    <col min="9730" max="9730" width="16" style="51" customWidth="1"/>
    <col min="9731" max="9732" width="13.7109375" style="51" customWidth="1"/>
    <col min="9733" max="9733" width="16.85546875" style="51" customWidth="1"/>
    <col min="9734" max="9734" width="15.140625" style="51" customWidth="1"/>
    <col min="9735" max="9735" width="13.7109375" style="51" customWidth="1"/>
    <col min="9736" max="9736" width="17" style="51" customWidth="1"/>
    <col min="9737" max="9737" width="13.140625" style="51" bestFit="1" customWidth="1"/>
    <col min="9738" max="9738" width="7.85546875" style="51"/>
    <col min="9739" max="9739" width="14.28515625" style="51" bestFit="1" customWidth="1"/>
    <col min="9740" max="9740" width="16.42578125" style="51" bestFit="1" customWidth="1"/>
    <col min="9741" max="9983" width="7.85546875" style="51"/>
    <col min="9984" max="9984" width="29.28515625" style="51" customWidth="1"/>
    <col min="9985" max="9985" width="14.42578125" style="51" customWidth="1"/>
    <col min="9986" max="9986" width="16" style="51" customWidth="1"/>
    <col min="9987" max="9988" width="13.7109375" style="51" customWidth="1"/>
    <col min="9989" max="9989" width="16.85546875" style="51" customWidth="1"/>
    <col min="9990" max="9990" width="15.140625" style="51" customWidth="1"/>
    <col min="9991" max="9991" width="13.7109375" style="51" customWidth="1"/>
    <col min="9992" max="9992" width="17" style="51" customWidth="1"/>
    <col min="9993" max="9993" width="13.140625" style="51" bestFit="1" customWidth="1"/>
    <col min="9994" max="9994" width="7.85546875" style="51"/>
    <col min="9995" max="9995" width="14.28515625" style="51" bestFit="1" customWidth="1"/>
    <col min="9996" max="9996" width="16.42578125" style="51" bestFit="1" customWidth="1"/>
    <col min="9997" max="10239" width="7.85546875" style="51"/>
    <col min="10240" max="10240" width="29.28515625" style="51" customWidth="1"/>
    <col min="10241" max="10241" width="14.42578125" style="51" customWidth="1"/>
    <col min="10242" max="10242" width="16" style="51" customWidth="1"/>
    <col min="10243" max="10244" width="13.7109375" style="51" customWidth="1"/>
    <col min="10245" max="10245" width="16.85546875" style="51" customWidth="1"/>
    <col min="10246" max="10246" width="15.140625" style="51" customWidth="1"/>
    <col min="10247" max="10247" width="13.7109375" style="51" customWidth="1"/>
    <col min="10248" max="10248" width="17" style="51" customWidth="1"/>
    <col min="10249" max="10249" width="13.140625" style="51" bestFit="1" customWidth="1"/>
    <col min="10250" max="10250" width="7.85546875" style="51"/>
    <col min="10251" max="10251" width="14.28515625" style="51" bestFit="1" customWidth="1"/>
    <col min="10252" max="10252" width="16.42578125" style="51" bestFit="1" customWidth="1"/>
    <col min="10253" max="10495" width="7.85546875" style="51"/>
    <col min="10496" max="10496" width="29.28515625" style="51" customWidth="1"/>
    <col min="10497" max="10497" width="14.42578125" style="51" customWidth="1"/>
    <col min="10498" max="10498" width="16" style="51" customWidth="1"/>
    <col min="10499" max="10500" width="13.7109375" style="51" customWidth="1"/>
    <col min="10501" max="10501" width="16.85546875" style="51" customWidth="1"/>
    <col min="10502" max="10502" width="15.140625" style="51" customWidth="1"/>
    <col min="10503" max="10503" width="13.7109375" style="51" customWidth="1"/>
    <col min="10504" max="10504" width="17" style="51" customWidth="1"/>
    <col min="10505" max="10505" width="13.140625" style="51" bestFit="1" customWidth="1"/>
    <col min="10506" max="10506" width="7.85546875" style="51"/>
    <col min="10507" max="10507" width="14.28515625" style="51" bestFit="1" customWidth="1"/>
    <col min="10508" max="10508" width="16.42578125" style="51" bestFit="1" customWidth="1"/>
    <col min="10509" max="10751" width="7.85546875" style="51"/>
    <col min="10752" max="10752" width="29.28515625" style="51" customWidth="1"/>
    <col min="10753" max="10753" width="14.42578125" style="51" customWidth="1"/>
    <col min="10754" max="10754" width="16" style="51" customWidth="1"/>
    <col min="10755" max="10756" width="13.7109375" style="51" customWidth="1"/>
    <col min="10757" max="10757" width="16.85546875" style="51" customWidth="1"/>
    <col min="10758" max="10758" width="15.140625" style="51" customWidth="1"/>
    <col min="10759" max="10759" width="13.7109375" style="51" customWidth="1"/>
    <col min="10760" max="10760" width="17" style="51" customWidth="1"/>
    <col min="10761" max="10761" width="13.140625" style="51" bestFit="1" customWidth="1"/>
    <col min="10762" max="10762" width="7.85546875" style="51"/>
    <col min="10763" max="10763" width="14.28515625" style="51" bestFit="1" customWidth="1"/>
    <col min="10764" max="10764" width="16.42578125" style="51" bestFit="1" customWidth="1"/>
    <col min="10765" max="11007" width="7.85546875" style="51"/>
    <col min="11008" max="11008" width="29.28515625" style="51" customWidth="1"/>
    <col min="11009" max="11009" width="14.42578125" style="51" customWidth="1"/>
    <col min="11010" max="11010" width="16" style="51" customWidth="1"/>
    <col min="11011" max="11012" width="13.7109375" style="51" customWidth="1"/>
    <col min="11013" max="11013" width="16.85546875" style="51" customWidth="1"/>
    <col min="11014" max="11014" width="15.140625" style="51" customWidth="1"/>
    <col min="11015" max="11015" width="13.7109375" style="51" customWidth="1"/>
    <col min="11016" max="11016" width="17" style="51" customWidth="1"/>
    <col min="11017" max="11017" width="13.140625" style="51" bestFit="1" customWidth="1"/>
    <col min="11018" max="11018" width="7.85546875" style="51"/>
    <col min="11019" max="11019" width="14.28515625" style="51" bestFit="1" customWidth="1"/>
    <col min="11020" max="11020" width="16.42578125" style="51" bestFit="1" customWidth="1"/>
    <col min="11021" max="11263" width="7.85546875" style="51"/>
    <col min="11264" max="11264" width="29.28515625" style="51" customWidth="1"/>
    <col min="11265" max="11265" width="14.42578125" style="51" customWidth="1"/>
    <col min="11266" max="11266" width="16" style="51" customWidth="1"/>
    <col min="11267" max="11268" width="13.7109375" style="51" customWidth="1"/>
    <col min="11269" max="11269" width="16.85546875" style="51" customWidth="1"/>
    <col min="11270" max="11270" width="15.140625" style="51" customWidth="1"/>
    <col min="11271" max="11271" width="13.7109375" style="51" customWidth="1"/>
    <col min="11272" max="11272" width="17" style="51" customWidth="1"/>
    <col min="11273" max="11273" width="13.140625" style="51" bestFit="1" customWidth="1"/>
    <col min="11274" max="11274" width="7.85546875" style="51"/>
    <col min="11275" max="11275" width="14.28515625" style="51" bestFit="1" customWidth="1"/>
    <col min="11276" max="11276" width="16.42578125" style="51" bestFit="1" customWidth="1"/>
    <col min="11277" max="11519" width="7.85546875" style="51"/>
    <col min="11520" max="11520" width="29.28515625" style="51" customWidth="1"/>
    <col min="11521" max="11521" width="14.42578125" style="51" customWidth="1"/>
    <col min="11522" max="11522" width="16" style="51" customWidth="1"/>
    <col min="11523" max="11524" width="13.7109375" style="51" customWidth="1"/>
    <col min="11525" max="11525" width="16.85546875" style="51" customWidth="1"/>
    <col min="11526" max="11526" width="15.140625" style="51" customWidth="1"/>
    <col min="11527" max="11527" width="13.7109375" style="51" customWidth="1"/>
    <col min="11528" max="11528" width="17" style="51" customWidth="1"/>
    <col min="11529" max="11529" width="13.140625" style="51" bestFit="1" customWidth="1"/>
    <col min="11530" max="11530" width="7.85546875" style="51"/>
    <col min="11531" max="11531" width="14.28515625" style="51" bestFit="1" customWidth="1"/>
    <col min="11532" max="11532" width="16.42578125" style="51" bestFit="1" customWidth="1"/>
    <col min="11533" max="11775" width="7.85546875" style="51"/>
    <col min="11776" max="11776" width="29.28515625" style="51" customWidth="1"/>
    <col min="11777" max="11777" width="14.42578125" style="51" customWidth="1"/>
    <col min="11778" max="11778" width="16" style="51" customWidth="1"/>
    <col min="11779" max="11780" width="13.7109375" style="51" customWidth="1"/>
    <col min="11781" max="11781" width="16.85546875" style="51" customWidth="1"/>
    <col min="11782" max="11782" width="15.140625" style="51" customWidth="1"/>
    <col min="11783" max="11783" width="13.7109375" style="51" customWidth="1"/>
    <col min="11784" max="11784" width="17" style="51" customWidth="1"/>
    <col min="11785" max="11785" width="13.140625" style="51" bestFit="1" customWidth="1"/>
    <col min="11786" max="11786" width="7.85546875" style="51"/>
    <col min="11787" max="11787" width="14.28515625" style="51" bestFit="1" customWidth="1"/>
    <col min="11788" max="11788" width="16.42578125" style="51" bestFit="1" customWidth="1"/>
    <col min="11789" max="12031" width="7.85546875" style="51"/>
    <col min="12032" max="12032" width="29.28515625" style="51" customWidth="1"/>
    <col min="12033" max="12033" width="14.42578125" style="51" customWidth="1"/>
    <col min="12034" max="12034" width="16" style="51" customWidth="1"/>
    <col min="12035" max="12036" width="13.7109375" style="51" customWidth="1"/>
    <col min="12037" max="12037" width="16.85546875" style="51" customWidth="1"/>
    <col min="12038" max="12038" width="15.140625" style="51" customWidth="1"/>
    <col min="12039" max="12039" width="13.7109375" style="51" customWidth="1"/>
    <col min="12040" max="12040" width="17" style="51" customWidth="1"/>
    <col min="12041" max="12041" width="13.140625" style="51" bestFit="1" customWidth="1"/>
    <col min="12042" max="12042" width="7.85546875" style="51"/>
    <col min="12043" max="12043" width="14.28515625" style="51" bestFit="1" customWidth="1"/>
    <col min="12044" max="12044" width="16.42578125" style="51" bestFit="1" customWidth="1"/>
    <col min="12045" max="12287" width="7.85546875" style="51"/>
    <col min="12288" max="12288" width="29.28515625" style="51" customWidth="1"/>
    <col min="12289" max="12289" width="14.42578125" style="51" customWidth="1"/>
    <col min="12290" max="12290" width="16" style="51" customWidth="1"/>
    <col min="12291" max="12292" width="13.7109375" style="51" customWidth="1"/>
    <col min="12293" max="12293" width="16.85546875" style="51" customWidth="1"/>
    <col min="12294" max="12294" width="15.140625" style="51" customWidth="1"/>
    <col min="12295" max="12295" width="13.7109375" style="51" customWidth="1"/>
    <col min="12296" max="12296" width="17" style="51" customWidth="1"/>
    <col min="12297" max="12297" width="13.140625" style="51" bestFit="1" customWidth="1"/>
    <col min="12298" max="12298" width="7.85546875" style="51"/>
    <col min="12299" max="12299" width="14.28515625" style="51" bestFit="1" customWidth="1"/>
    <col min="12300" max="12300" width="16.42578125" style="51" bestFit="1" customWidth="1"/>
    <col min="12301" max="12543" width="7.85546875" style="51"/>
    <col min="12544" max="12544" width="29.28515625" style="51" customWidth="1"/>
    <col min="12545" max="12545" width="14.42578125" style="51" customWidth="1"/>
    <col min="12546" max="12546" width="16" style="51" customWidth="1"/>
    <col min="12547" max="12548" width="13.7109375" style="51" customWidth="1"/>
    <col min="12549" max="12549" width="16.85546875" style="51" customWidth="1"/>
    <col min="12550" max="12550" width="15.140625" style="51" customWidth="1"/>
    <col min="12551" max="12551" width="13.7109375" style="51" customWidth="1"/>
    <col min="12552" max="12552" width="17" style="51" customWidth="1"/>
    <col min="12553" max="12553" width="13.140625" style="51" bestFit="1" customWidth="1"/>
    <col min="12554" max="12554" width="7.85546875" style="51"/>
    <col min="12555" max="12555" width="14.28515625" style="51" bestFit="1" customWidth="1"/>
    <col min="12556" max="12556" width="16.42578125" style="51" bestFit="1" customWidth="1"/>
    <col min="12557" max="12799" width="7.85546875" style="51"/>
    <col min="12800" max="12800" width="29.28515625" style="51" customWidth="1"/>
    <col min="12801" max="12801" width="14.42578125" style="51" customWidth="1"/>
    <col min="12802" max="12802" width="16" style="51" customWidth="1"/>
    <col min="12803" max="12804" width="13.7109375" style="51" customWidth="1"/>
    <col min="12805" max="12805" width="16.85546875" style="51" customWidth="1"/>
    <col min="12806" max="12806" width="15.140625" style="51" customWidth="1"/>
    <col min="12807" max="12807" width="13.7109375" style="51" customWidth="1"/>
    <col min="12808" max="12808" width="17" style="51" customWidth="1"/>
    <col min="12809" max="12809" width="13.140625" style="51" bestFit="1" customWidth="1"/>
    <col min="12810" max="12810" width="7.85546875" style="51"/>
    <col min="12811" max="12811" width="14.28515625" style="51" bestFit="1" customWidth="1"/>
    <col min="12812" max="12812" width="16.42578125" style="51" bestFit="1" customWidth="1"/>
    <col min="12813" max="13055" width="7.85546875" style="51"/>
    <col min="13056" max="13056" width="29.28515625" style="51" customWidth="1"/>
    <col min="13057" max="13057" width="14.42578125" style="51" customWidth="1"/>
    <col min="13058" max="13058" width="16" style="51" customWidth="1"/>
    <col min="13059" max="13060" width="13.7109375" style="51" customWidth="1"/>
    <col min="13061" max="13061" width="16.85546875" style="51" customWidth="1"/>
    <col min="13062" max="13062" width="15.140625" style="51" customWidth="1"/>
    <col min="13063" max="13063" width="13.7109375" style="51" customWidth="1"/>
    <col min="13064" max="13064" width="17" style="51" customWidth="1"/>
    <col min="13065" max="13065" width="13.140625" style="51" bestFit="1" customWidth="1"/>
    <col min="13066" max="13066" width="7.85546875" style="51"/>
    <col min="13067" max="13067" width="14.28515625" style="51" bestFit="1" customWidth="1"/>
    <col min="13068" max="13068" width="16.42578125" style="51" bestFit="1" customWidth="1"/>
    <col min="13069" max="13311" width="7.85546875" style="51"/>
    <col min="13312" max="13312" width="29.28515625" style="51" customWidth="1"/>
    <col min="13313" max="13313" width="14.42578125" style="51" customWidth="1"/>
    <col min="13314" max="13314" width="16" style="51" customWidth="1"/>
    <col min="13315" max="13316" width="13.7109375" style="51" customWidth="1"/>
    <col min="13317" max="13317" width="16.85546875" style="51" customWidth="1"/>
    <col min="13318" max="13318" width="15.140625" style="51" customWidth="1"/>
    <col min="13319" max="13319" width="13.7109375" style="51" customWidth="1"/>
    <col min="13320" max="13320" width="17" style="51" customWidth="1"/>
    <col min="13321" max="13321" width="13.140625" style="51" bestFit="1" customWidth="1"/>
    <col min="13322" max="13322" width="7.85546875" style="51"/>
    <col min="13323" max="13323" width="14.28515625" style="51" bestFit="1" customWidth="1"/>
    <col min="13324" max="13324" width="16.42578125" style="51" bestFit="1" customWidth="1"/>
    <col min="13325" max="13567" width="7.85546875" style="51"/>
    <col min="13568" max="13568" width="29.28515625" style="51" customWidth="1"/>
    <col min="13569" max="13569" width="14.42578125" style="51" customWidth="1"/>
    <col min="13570" max="13570" width="16" style="51" customWidth="1"/>
    <col min="13571" max="13572" width="13.7109375" style="51" customWidth="1"/>
    <col min="13573" max="13573" width="16.85546875" style="51" customWidth="1"/>
    <col min="13574" max="13574" width="15.140625" style="51" customWidth="1"/>
    <col min="13575" max="13575" width="13.7109375" style="51" customWidth="1"/>
    <col min="13576" max="13576" width="17" style="51" customWidth="1"/>
    <col min="13577" max="13577" width="13.140625" style="51" bestFit="1" customWidth="1"/>
    <col min="13578" max="13578" width="7.85546875" style="51"/>
    <col min="13579" max="13579" width="14.28515625" style="51" bestFit="1" customWidth="1"/>
    <col min="13580" max="13580" width="16.42578125" style="51" bestFit="1" customWidth="1"/>
    <col min="13581" max="13823" width="7.85546875" style="51"/>
    <col min="13824" max="13824" width="29.28515625" style="51" customWidth="1"/>
    <col min="13825" max="13825" width="14.42578125" style="51" customWidth="1"/>
    <col min="13826" max="13826" width="16" style="51" customWidth="1"/>
    <col min="13827" max="13828" width="13.7109375" style="51" customWidth="1"/>
    <col min="13829" max="13829" width="16.85546875" style="51" customWidth="1"/>
    <col min="13830" max="13830" width="15.140625" style="51" customWidth="1"/>
    <col min="13831" max="13831" width="13.7109375" style="51" customWidth="1"/>
    <col min="13832" max="13832" width="17" style="51" customWidth="1"/>
    <col min="13833" max="13833" width="13.140625" style="51" bestFit="1" customWidth="1"/>
    <col min="13834" max="13834" width="7.85546875" style="51"/>
    <col min="13835" max="13835" width="14.28515625" style="51" bestFit="1" customWidth="1"/>
    <col min="13836" max="13836" width="16.42578125" style="51" bestFit="1" customWidth="1"/>
    <col min="13837" max="14079" width="7.85546875" style="51"/>
    <col min="14080" max="14080" width="29.28515625" style="51" customWidth="1"/>
    <col min="14081" max="14081" width="14.42578125" style="51" customWidth="1"/>
    <col min="14082" max="14082" width="16" style="51" customWidth="1"/>
    <col min="14083" max="14084" width="13.7109375" style="51" customWidth="1"/>
    <col min="14085" max="14085" width="16.85546875" style="51" customWidth="1"/>
    <col min="14086" max="14086" width="15.140625" style="51" customWidth="1"/>
    <col min="14087" max="14087" width="13.7109375" style="51" customWidth="1"/>
    <col min="14088" max="14088" width="17" style="51" customWidth="1"/>
    <col min="14089" max="14089" width="13.140625" style="51" bestFit="1" customWidth="1"/>
    <col min="14090" max="14090" width="7.85546875" style="51"/>
    <col min="14091" max="14091" width="14.28515625" style="51" bestFit="1" customWidth="1"/>
    <col min="14092" max="14092" width="16.42578125" style="51" bestFit="1" customWidth="1"/>
    <col min="14093" max="14335" width="7.85546875" style="51"/>
    <col min="14336" max="14336" width="29.28515625" style="51" customWidth="1"/>
    <col min="14337" max="14337" width="14.42578125" style="51" customWidth="1"/>
    <col min="14338" max="14338" width="16" style="51" customWidth="1"/>
    <col min="14339" max="14340" width="13.7109375" style="51" customWidth="1"/>
    <col min="14341" max="14341" width="16.85546875" style="51" customWidth="1"/>
    <col min="14342" max="14342" width="15.140625" style="51" customWidth="1"/>
    <col min="14343" max="14343" width="13.7109375" style="51" customWidth="1"/>
    <col min="14344" max="14344" width="17" style="51" customWidth="1"/>
    <col min="14345" max="14345" width="13.140625" style="51" bestFit="1" customWidth="1"/>
    <col min="14346" max="14346" width="7.85546875" style="51"/>
    <col min="14347" max="14347" width="14.28515625" style="51" bestFit="1" customWidth="1"/>
    <col min="14348" max="14348" width="16.42578125" style="51" bestFit="1" customWidth="1"/>
    <col min="14349" max="14591" width="7.85546875" style="51"/>
    <col min="14592" max="14592" width="29.28515625" style="51" customWidth="1"/>
    <col min="14593" max="14593" width="14.42578125" style="51" customWidth="1"/>
    <col min="14594" max="14594" width="16" style="51" customWidth="1"/>
    <col min="14595" max="14596" width="13.7109375" style="51" customWidth="1"/>
    <col min="14597" max="14597" width="16.85546875" style="51" customWidth="1"/>
    <col min="14598" max="14598" width="15.140625" style="51" customWidth="1"/>
    <col min="14599" max="14599" width="13.7109375" style="51" customWidth="1"/>
    <col min="14600" max="14600" width="17" style="51" customWidth="1"/>
    <col min="14601" max="14601" width="13.140625" style="51" bestFit="1" customWidth="1"/>
    <col min="14602" max="14602" width="7.85546875" style="51"/>
    <col min="14603" max="14603" width="14.28515625" style="51" bestFit="1" customWidth="1"/>
    <col min="14604" max="14604" width="16.42578125" style="51" bestFit="1" customWidth="1"/>
    <col min="14605" max="14847" width="7.85546875" style="51"/>
    <col min="14848" max="14848" width="29.28515625" style="51" customWidth="1"/>
    <col min="14849" max="14849" width="14.42578125" style="51" customWidth="1"/>
    <col min="14850" max="14850" width="16" style="51" customWidth="1"/>
    <col min="14851" max="14852" width="13.7109375" style="51" customWidth="1"/>
    <col min="14853" max="14853" width="16.85546875" style="51" customWidth="1"/>
    <col min="14854" max="14854" width="15.140625" style="51" customWidth="1"/>
    <col min="14855" max="14855" width="13.7109375" style="51" customWidth="1"/>
    <col min="14856" max="14856" width="17" style="51" customWidth="1"/>
    <col min="14857" max="14857" width="13.140625" style="51" bestFit="1" customWidth="1"/>
    <col min="14858" max="14858" width="7.85546875" style="51"/>
    <col min="14859" max="14859" width="14.28515625" style="51" bestFit="1" customWidth="1"/>
    <col min="14860" max="14860" width="16.42578125" style="51" bestFit="1" customWidth="1"/>
    <col min="14861" max="15103" width="7.85546875" style="51"/>
    <col min="15104" max="15104" width="29.28515625" style="51" customWidth="1"/>
    <col min="15105" max="15105" width="14.42578125" style="51" customWidth="1"/>
    <col min="15106" max="15106" width="16" style="51" customWidth="1"/>
    <col min="15107" max="15108" width="13.7109375" style="51" customWidth="1"/>
    <col min="15109" max="15109" width="16.85546875" style="51" customWidth="1"/>
    <col min="15110" max="15110" width="15.140625" style="51" customWidth="1"/>
    <col min="15111" max="15111" width="13.7109375" style="51" customWidth="1"/>
    <col min="15112" max="15112" width="17" style="51" customWidth="1"/>
    <col min="15113" max="15113" width="13.140625" style="51" bestFit="1" customWidth="1"/>
    <col min="15114" max="15114" width="7.85546875" style="51"/>
    <col min="15115" max="15115" width="14.28515625" style="51" bestFit="1" customWidth="1"/>
    <col min="15116" max="15116" width="16.42578125" style="51" bestFit="1" customWidth="1"/>
    <col min="15117" max="15359" width="7.85546875" style="51"/>
    <col min="15360" max="15360" width="29.28515625" style="51" customWidth="1"/>
    <col min="15361" max="15361" width="14.42578125" style="51" customWidth="1"/>
    <col min="15362" max="15362" width="16" style="51" customWidth="1"/>
    <col min="15363" max="15364" width="13.7109375" style="51" customWidth="1"/>
    <col min="15365" max="15365" width="16.85546875" style="51" customWidth="1"/>
    <col min="15366" max="15366" width="15.140625" style="51" customWidth="1"/>
    <col min="15367" max="15367" width="13.7109375" style="51" customWidth="1"/>
    <col min="15368" max="15368" width="17" style="51" customWidth="1"/>
    <col min="15369" max="15369" width="13.140625" style="51" bestFit="1" customWidth="1"/>
    <col min="15370" max="15370" width="7.85546875" style="51"/>
    <col min="15371" max="15371" width="14.28515625" style="51" bestFit="1" customWidth="1"/>
    <col min="15372" max="15372" width="16.42578125" style="51" bestFit="1" customWidth="1"/>
    <col min="15373" max="15615" width="7.85546875" style="51"/>
    <col min="15616" max="15616" width="29.28515625" style="51" customWidth="1"/>
    <col min="15617" max="15617" width="14.42578125" style="51" customWidth="1"/>
    <col min="15618" max="15618" width="16" style="51" customWidth="1"/>
    <col min="15619" max="15620" width="13.7109375" style="51" customWidth="1"/>
    <col min="15621" max="15621" width="16.85546875" style="51" customWidth="1"/>
    <col min="15622" max="15622" width="15.140625" style="51" customWidth="1"/>
    <col min="15623" max="15623" width="13.7109375" style="51" customWidth="1"/>
    <col min="15624" max="15624" width="17" style="51" customWidth="1"/>
    <col min="15625" max="15625" width="13.140625" style="51" bestFit="1" customWidth="1"/>
    <col min="15626" max="15626" width="7.85546875" style="51"/>
    <col min="15627" max="15627" width="14.28515625" style="51" bestFit="1" customWidth="1"/>
    <col min="15628" max="15628" width="16.42578125" style="51" bestFit="1" customWidth="1"/>
    <col min="15629" max="15871" width="7.85546875" style="51"/>
    <col min="15872" max="15872" width="29.28515625" style="51" customWidth="1"/>
    <col min="15873" max="15873" width="14.42578125" style="51" customWidth="1"/>
    <col min="15874" max="15874" width="16" style="51" customWidth="1"/>
    <col min="15875" max="15876" width="13.7109375" style="51" customWidth="1"/>
    <col min="15877" max="15877" width="16.85546875" style="51" customWidth="1"/>
    <col min="15878" max="15878" width="15.140625" style="51" customWidth="1"/>
    <col min="15879" max="15879" width="13.7109375" style="51" customWidth="1"/>
    <col min="15880" max="15880" width="17" style="51" customWidth="1"/>
    <col min="15881" max="15881" width="13.140625" style="51" bestFit="1" customWidth="1"/>
    <col min="15882" max="15882" width="7.85546875" style="51"/>
    <col min="15883" max="15883" width="14.28515625" style="51" bestFit="1" customWidth="1"/>
    <col min="15884" max="15884" width="16.42578125" style="51" bestFit="1" customWidth="1"/>
    <col min="15885" max="16127" width="7.85546875" style="51"/>
    <col min="16128" max="16128" width="29.28515625" style="51" customWidth="1"/>
    <col min="16129" max="16129" width="14.42578125" style="51" customWidth="1"/>
    <col min="16130" max="16130" width="16" style="51" customWidth="1"/>
    <col min="16131" max="16132" width="13.7109375" style="51" customWidth="1"/>
    <col min="16133" max="16133" width="16.85546875" style="51" customWidth="1"/>
    <col min="16134" max="16134" width="15.140625" style="51" customWidth="1"/>
    <col min="16135" max="16135" width="13.7109375" style="51" customWidth="1"/>
    <col min="16136" max="16136" width="17" style="51" customWidth="1"/>
    <col min="16137" max="16137" width="13.140625" style="51" bestFit="1" customWidth="1"/>
    <col min="16138" max="16138" width="7.85546875" style="51"/>
    <col min="16139" max="16139" width="14.28515625" style="51" bestFit="1" customWidth="1"/>
    <col min="16140" max="16140" width="16.42578125" style="51" bestFit="1" customWidth="1"/>
    <col min="16141" max="16384" width="7.85546875" style="51"/>
  </cols>
  <sheetData>
    <row r="1" spans="1:12" ht="27.75" customHeight="1" x14ac:dyDescent="0.2"/>
    <row r="2" spans="1:12" ht="25.5" customHeight="1" x14ac:dyDescent="0.2"/>
    <row r="3" spans="1:12" ht="15.75" customHeight="1" x14ac:dyDescent="0.25">
      <c r="A3" s="246" t="s">
        <v>124</v>
      </c>
      <c r="B3" s="246"/>
      <c r="C3" s="246"/>
      <c r="D3" s="246"/>
      <c r="E3" s="246"/>
      <c r="F3" s="246"/>
      <c r="G3" s="246"/>
      <c r="H3" s="246"/>
      <c r="I3" s="246"/>
    </row>
    <row r="4" spans="1:12" s="52" customFormat="1" ht="21.75" customHeight="1" x14ac:dyDescent="0.35">
      <c r="A4" s="100" t="s">
        <v>0</v>
      </c>
      <c r="B4" s="99"/>
      <c r="C4" s="98"/>
      <c r="D4" s="98"/>
      <c r="E4" s="98"/>
      <c r="F4" s="98"/>
      <c r="G4" s="98"/>
      <c r="H4" s="98"/>
      <c r="I4" s="98"/>
    </row>
    <row r="5" spans="1:12" s="52" customFormat="1" ht="15.75" x14ac:dyDescent="0.25">
      <c r="A5" s="97" t="s">
        <v>116</v>
      </c>
    </row>
    <row r="6" spans="1:12" s="95" customFormat="1" ht="25.5" customHeight="1" x14ac:dyDescent="0.2">
      <c r="A6" s="96" t="s">
        <v>3</v>
      </c>
      <c r="B6" s="96" t="s">
        <v>115</v>
      </c>
      <c r="C6" s="96" t="s">
        <v>114</v>
      </c>
      <c r="D6" s="96" t="s">
        <v>113</v>
      </c>
      <c r="E6" s="96" t="s">
        <v>112</v>
      </c>
      <c r="F6" s="96" t="s">
        <v>111</v>
      </c>
      <c r="G6" s="224" t="s">
        <v>154</v>
      </c>
      <c r="H6" s="96" t="s">
        <v>109</v>
      </c>
      <c r="I6" s="96" t="s">
        <v>108</v>
      </c>
    </row>
    <row r="7" spans="1:12" customFormat="1" ht="12.95" customHeight="1" x14ac:dyDescent="0.25">
      <c r="A7" s="112" t="s">
        <v>65</v>
      </c>
      <c r="B7" s="133">
        <v>1</v>
      </c>
      <c r="C7" s="94">
        <v>10.81</v>
      </c>
      <c r="D7" s="92">
        <v>8</v>
      </c>
      <c r="E7" s="91">
        <v>0</v>
      </c>
      <c r="F7" s="117">
        <v>0</v>
      </c>
      <c r="G7" s="148">
        <v>0</v>
      </c>
      <c r="H7" s="91">
        <f>(C7*(8*10))*B7</f>
        <v>864.80000000000007</v>
      </c>
      <c r="I7" s="90">
        <f>E7+F7+G7+H7</f>
        <v>864.80000000000007</v>
      </c>
    </row>
    <row r="8" spans="1:12" customFormat="1" ht="12.95" customHeight="1" x14ac:dyDescent="0.25">
      <c r="A8" s="112" t="s">
        <v>66</v>
      </c>
      <c r="B8" s="133">
        <v>8</v>
      </c>
      <c r="C8" s="93">
        <v>6.04</v>
      </c>
      <c r="D8" s="92">
        <v>8</v>
      </c>
      <c r="E8" s="91">
        <v>0</v>
      </c>
      <c r="F8" s="117">
        <v>0</v>
      </c>
      <c r="G8" s="148">
        <v>0</v>
      </c>
      <c r="H8" s="91">
        <f>(C8*(8*10)*B8)</f>
        <v>3865.6</v>
      </c>
      <c r="I8" s="90">
        <f>E8+F8+G8+H8</f>
        <v>3865.6</v>
      </c>
    </row>
    <row r="9" spans="1:12" customFormat="1" ht="14.1" customHeight="1" x14ac:dyDescent="0.25">
      <c r="A9" s="89" t="s">
        <v>107</v>
      </c>
      <c r="B9" s="88"/>
      <c r="C9" s="87"/>
      <c r="D9" s="86"/>
      <c r="E9" s="86"/>
      <c r="F9" s="86"/>
      <c r="G9" s="86"/>
      <c r="H9" s="86"/>
      <c r="I9" s="85"/>
    </row>
    <row r="10" spans="1:12" s="52" customFormat="1" ht="12.75" x14ac:dyDescent="0.2">
      <c r="A10" s="95"/>
      <c r="D10" s="134"/>
      <c r="E10" s="134"/>
      <c r="F10" s="134"/>
      <c r="G10" s="134"/>
      <c r="H10" s="134"/>
      <c r="I10" s="134"/>
    </row>
    <row r="11" spans="1:12" s="52" customFormat="1" ht="14.25" customHeight="1" x14ac:dyDescent="0.2">
      <c r="C11" s="247" t="s">
        <v>106</v>
      </c>
      <c r="D11" s="248"/>
      <c r="E11" s="248"/>
      <c r="F11" s="248"/>
      <c r="G11" s="248"/>
      <c r="H11" s="249">
        <f>SUM(I7:I8)</f>
        <v>4730.3999999999996</v>
      </c>
      <c r="I11" s="250"/>
    </row>
    <row r="12" spans="1:12" s="52" customFormat="1" ht="17.25" customHeight="1" x14ac:dyDescent="0.25">
      <c r="A12" s="97" t="s">
        <v>105</v>
      </c>
    </row>
    <row r="13" spans="1:12" s="52" customFormat="1" ht="13.5" customHeight="1" x14ac:dyDescent="0.2">
      <c r="A13" s="84" t="s">
        <v>104</v>
      </c>
      <c r="B13" s="83" t="s">
        <v>103</v>
      </c>
      <c r="C13" s="82" t="s">
        <v>102</v>
      </c>
      <c r="D13" s="101"/>
      <c r="E13" s="101"/>
      <c r="F13" s="101"/>
      <c r="G13" s="101"/>
      <c r="H13" s="101"/>
    </row>
    <row r="14" spans="1:12" s="52" customFormat="1" ht="15.75" hidden="1" customHeight="1" x14ac:dyDescent="0.2">
      <c r="A14" s="81" t="s">
        <v>101</v>
      </c>
      <c r="B14" s="80"/>
      <c r="C14" s="79"/>
      <c r="D14" s="136"/>
      <c r="E14" s="136"/>
      <c r="F14" s="136"/>
      <c r="G14" s="136"/>
      <c r="H14" s="251"/>
      <c r="I14" s="251"/>
    </row>
    <row r="15" spans="1:12" s="52" customFormat="1" ht="15.75" hidden="1" x14ac:dyDescent="0.25">
      <c r="A15" s="71" t="s">
        <v>100</v>
      </c>
      <c r="B15" s="137">
        <v>0.2</v>
      </c>
      <c r="C15" s="69">
        <f>H11*B15</f>
        <v>946.07999999999993</v>
      </c>
      <c r="D15" s="136"/>
      <c r="E15" s="136"/>
      <c r="F15" s="136"/>
      <c r="G15" s="136"/>
      <c r="H15" s="136"/>
      <c r="L15" s="78">
        <v>762000</v>
      </c>
    </row>
    <row r="16" spans="1:12" s="52" customFormat="1" ht="12.75" hidden="1" x14ac:dyDescent="0.2">
      <c r="A16" s="71" t="s">
        <v>99</v>
      </c>
      <c r="B16" s="137">
        <v>8.5000000000000006E-2</v>
      </c>
      <c r="C16" s="69">
        <f>H11*B16</f>
        <v>402.084</v>
      </c>
      <c r="D16" s="138"/>
      <c r="E16" s="138"/>
      <c r="F16" s="138"/>
      <c r="G16" s="138"/>
      <c r="H16" s="136"/>
    </row>
    <row r="17" spans="1:8" s="52" customFormat="1" ht="7.5" hidden="1" customHeight="1" x14ac:dyDescent="0.2">
      <c r="A17" s="71"/>
      <c r="B17" s="137"/>
      <c r="C17" s="77"/>
      <c r="D17" s="136"/>
      <c r="E17" s="136"/>
      <c r="F17" s="136"/>
      <c r="G17" s="136"/>
      <c r="H17" s="136"/>
    </row>
    <row r="18" spans="1:8" s="52" customFormat="1" ht="15.75" hidden="1" customHeight="1" x14ac:dyDescent="0.2">
      <c r="A18" s="74" t="s">
        <v>98</v>
      </c>
      <c r="B18" s="139"/>
      <c r="C18" s="76"/>
      <c r="D18" s="136"/>
      <c r="E18" s="136"/>
      <c r="F18" s="136"/>
      <c r="G18" s="136"/>
      <c r="H18" s="136"/>
    </row>
    <row r="19" spans="1:8" s="52" customFormat="1" ht="12.95" hidden="1" customHeight="1" x14ac:dyDescent="0.2">
      <c r="A19" s="71" t="s">
        <v>97</v>
      </c>
      <c r="B19" s="137">
        <v>0.1091</v>
      </c>
      <c r="C19" s="69">
        <f>H11*B19</f>
        <v>516.08663999999999</v>
      </c>
      <c r="D19" s="136"/>
      <c r="E19" s="136"/>
      <c r="F19" s="136"/>
      <c r="G19" s="136"/>
      <c r="H19" s="136"/>
    </row>
    <row r="20" spans="1:8" s="52" customFormat="1" ht="12.75" hidden="1" x14ac:dyDescent="0.2">
      <c r="A20" s="71" t="s">
        <v>96</v>
      </c>
      <c r="B20" s="137">
        <v>9.4500000000000001E-2</v>
      </c>
      <c r="C20" s="69">
        <f>H11*B20</f>
        <v>447.02279999999996</v>
      </c>
      <c r="D20" s="136"/>
      <c r="E20" s="136"/>
      <c r="F20" s="136"/>
      <c r="G20" s="136"/>
      <c r="H20" s="136"/>
    </row>
    <row r="21" spans="1:8" s="52" customFormat="1" ht="12.75" hidden="1" x14ac:dyDescent="0.2">
      <c r="A21" s="71" t="s">
        <v>95</v>
      </c>
      <c r="B21" s="75">
        <v>5.4999999999999997E-3</v>
      </c>
      <c r="C21" s="69">
        <f>H11*B21</f>
        <v>26.017199999999995</v>
      </c>
      <c r="D21" s="136"/>
      <c r="E21" s="136"/>
      <c r="F21" s="136"/>
      <c r="G21" s="136"/>
      <c r="H21" s="136"/>
    </row>
    <row r="22" spans="1:8" s="52" customFormat="1" ht="12.75" hidden="1" x14ac:dyDescent="0.2">
      <c r="A22" s="71" t="s">
        <v>94</v>
      </c>
      <c r="B22" s="137">
        <v>0</v>
      </c>
      <c r="C22" s="69">
        <f>H11*B22</f>
        <v>0</v>
      </c>
      <c r="D22" s="136"/>
      <c r="E22" s="136"/>
      <c r="F22" s="136"/>
      <c r="G22" s="136"/>
      <c r="H22" s="136"/>
    </row>
    <row r="23" spans="1:8" s="52" customFormat="1" ht="4.5" hidden="1" customHeight="1" x14ac:dyDescent="0.2">
      <c r="A23" s="71"/>
      <c r="B23" s="137"/>
      <c r="C23" s="69"/>
      <c r="D23" s="136"/>
      <c r="E23" s="136"/>
      <c r="F23" s="136"/>
      <c r="G23" s="136"/>
      <c r="H23" s="136"/>
    </row>
    <row r="24" spans="1:8" s="52" customFormat="1" ht="15.75" hidden="1" customHeight="1" x14ac:dyDescent="0.2">
      <c r="A24" s="74" t="s">
        <v>93</v>
      </c>
      <c r="B24" s="139"/>
      <c r="C24" s="72"/>
      <c r="D24" s="136"/>
      <c r="E24" s="136"/>
      <c r="F24" s="136"/>
      <c r="G24" s="136"/>
      <c r="H24" s="136"/>
    </row>
    <row r="25" spans="1:8" s="52" customFormat="1" ht="6" hidden="1" customHeight="1" x14ac:dyDescent="0.2">
      <c r="A25" s="74"/>
      <c r="B25" s="139"/>
      <c r="C25" s="72"/>
      <c r="D25" s="136"/>
      <c r="E25" s="136"/>
      <c r="F25" s="136"/>
      <c r="G25" s="136"/>
      <c r="H25" s="136"/>
    </row>
    <row r="26" spans="1:8" s="52" customFormat="1" ht="12.95" hidden="1" customHeight="1" x14ac:dyDescent="0.2">
      <c r="A26" s="71" t="s">
        <v>92</v>
      </c>
      <c r="B26" s="137">
        <v>7.9299999999999995E-2</v>
      </c>
      <c r="C26" s="69">
        <f>H11*B26</f>
        <v>375.12071999999995</v>
      </c>
      <c r="D26" s="136"/>
      <c r="E26" s="136"/>
      <c r="F26" s="136"/>
      <c r="G26" s="136"/>
      <c r="H26" s="136"/>
    </row>
    <row r="27" spans="1:8" s="52" customFormat="1" ht="6" hidden="1" customHeight="1" x14ac:dyDescent="0.2">
      <c r="A27" s="71"/>
      <c r="B27" s="137"/>
      <c r="C27" s="69"/>
      <c r="D27" s="136"/>
      <c r="E27" s="136"/>
      <c r="F27" s="136"/>
      <c r="G27" s="136"/>
      <c r="H27" s="136"/>
    </row>
    <row r="28" spans="1:8" s="52" customFormat="1" ht="15.75" hidden="1" customHeight="1" x14ac:dyDescent="0.2">
      <c r="A28" s="74" t="s">
        <v>91</v>
      </c>
      <c r="B28" s="139"/>
      <c r="C28" s="72"/>
      <c r="D28" s="136"/>
      <c r="E28" s="136"/>
      <c r="F28" s="136"/>
      <c r="G28" s="136"/>
      <c r="H28" s="136"/>
    </row>
    <row r="29" spans="1:8" s="52" customFormat="1" ht="8.25" hidden="1" customHeight="1" x14ac:dyDescent="0.2">
      <c r="A29" s="74"/>
      <c r="B29" s="73"/>
      <c r="C29" s="72"/>
      <c r="D29" s="136"/>
      <c r="E29" s="136"/>
      <c r="F29" s="136"/>
      <c r="G29" s="136"/>
      <c r="H29" s="136"/>
    </row>
    <row r="30" spans="1:8" s="52" customFormat="1" ht="12.95" hidden="1" customHeight="1" x14ac:dyDescent="0.2">
      <c r="A30" s="71" t="s">
        <v>90</v>
      </c>
      <c r="B30" s="70" t="s">
        <v>89</v>
      </c>
      <c r="C30" s="69">
        <f>50/100*C16</f>
        <v>201.042</v>
      </c>
      <c r="D30" s="136"/>
      <c r="E30" s="136"/>
      <c r="F30" s="136"/>
      <c r="G30" s="136"/>
      <c r="H30" s="136"/>
    </row>
    <row r="31" spans="1:8" s="52" customFormat="1" ht="12.75" hidden="1" x14ac:dyDescent="0.2">
      <c r="A31" s="68"/>
      <c r="B31" s="67"/>
      <c r="C31" s="66"/>
      <c r="D31" s="136"/>
      <c r="E31" s="136"/>
      <c r="F31" s="136"/>
      <c r="G31" s="136"/>
      <c r="H31" s="136"/>
    </row>
    <row r="32" spans="1:8" s="52" customFormat="1" ht="14.25" customHeight="1" x14ac:dyDescent="0.2">
      <c r="A32" s="247" t="s">
        <v>88</v>
      </c>
      <c r="B32" s="252"/>
      <c r="C32" s="65">
        <f>SUM(C15:C31)</f>
        <v>2913.4533599999995</v>
      </c>
      <c r="D32" s="64"/>
      <c r="E32" s="63"/>
      <c r="F32" s="63"/>
      <c r="G32" s="63"/>
      <c r="H32" s="62"/>
    </row>
    <row r="33" spans="1:11" s="52" customFormat="1" ht="7.5" customHeight="1" x14ac:dyDescent="0.2">
      <c r="B33" s="101"/>
    </row>
    <row r="34" spans="1:11" s="52" customFormat="1" ht="14.25" customHeight="1" x14ac:dyDescent="0.2">
      <c r="A34" s="61"/>
      <c r="C34" s="253" t="s">
        <v>87</v>
      </c>
      <c r="D34" s="253"/>
      <c r="E34" s="253"/>
      <c r="F34" s="253"/>
      <c r="G34" s="253"/>
      <c r="H34" s="249">
        <f>C32+H11</f>
        <v>7643.8533599999992</v>
      </c>
      <c r="I34" s="250"/>
    </row>
    <row r="35" spans="1:11" s="52" customFormat="1" ht="15.75" x14ac:dyDescent="0.25">
      <c r="A35" s="140"/>
      <c r="F35" s="244"/>
      <c r="G35" s="244"/>
      <c r="H35" s="245"/>
      <c r="I35" s="245"/>
      <c r="J35" s="60"/>
      <c r="K35" s="60"/>
    </row>
    <row r="36" spans="1:11" s="52" customFormat="1" ht="23.25" customHeight="1" x14ac:dyDescent="0.2">
      <c r="A36" s="141"/>
      <c r="B36" s="57" t="s">
        <v>85</v>
      </c>
      <c r="C36" s="57" t="s">
        <v>84</v>
      </c>
      <c r="D36" s="55" t="s">
        <v>86</v>
      </c>
      <c r="E36" s="55" t="s">
        <v>83</v>
      </c>
      <c r="F36" s="55" t="s">
        <v>82</v>
      </c>
      <c r="G36" s="55" t="s">
        <v>81</v>
      </c>
      <c r="K36" s="142"/>
    </row>
    <row r="37" spans="1:11" s="52" customFormat="1" ht="16.5" customHeight="1" x14ac:dyDescent="0.2">
      <c r="A37" s="112" t="s">
        <v>65</v>
      </c>
      <c r="B37" s="133">
        <v>1</v>
      </c>
      <c r="C37" s="56">
        <v>10</v>
      </c>
      <c r="D37" s="55">
        <v>5.4</v>
      </c>
      <c r="E37" s="55">
        <v>12.96</v>
      </c>
      <c r="F37" s="54">
        <v>0</v>
      </c>
      <c r="G37" s="53">
        <f t="shared" ref="G37:G38" si="0">(B37*C37*(D37+E37+F37))</f>
        <v>183.6</v>
      </c>
    </row>
    <row r="38" spans="1:11" s="52" customFormat="1" ht="12.75" x14ac:dyDescent="0.2">
      <c r="A38" s="112" t="s">
        <v>66</v>
      </c>
      <c r="B38" s="133">
        <v>8</v>
      </c>
      <c r="C38" s="56">
        <v>10</v>
      </c>
      <c r="D38" s="55">
        <v>5.4</v>
      </c>
      <c r="E38" s="55">
        <v>12.96</v>
      </c>
      <c r="F38" s="54">
        <v>0</v>
      </c>
      <c r="G38" s="53">
        <f t="shared" si="0"/>
        <v>1468.8</v>
      </c>
    </row>
    <row r="39" spans="1:11" s="52" customFormat="1" x14ac:dyDescent="0.2">
      <c r="A39" s="145"/>
      <c r="B39" s="59"/>
      <c r="C39" s="58"/>
      <c r="G39" s="146">
        <f>SUM(G37:G38)</f>
        <v>1652.3999999999999</v>
      </c>
    </row>
    <row r="40" spans="1:11" s="52" customFormat="1" ht="12.75" x14ac:dyDescent="0.2"/>
    <row r="41" spans="1:11" s="52" customFormat="1" ht="12.75" x14ac:dyDescent="0.2"/>
    <row r="42" spans="1:11" s="52" customFormat="1" ht="12.75" x14ac:dyDescent="0.2"/>
    <row r="43" spans="1:11" s="52" customFormat="1" ht="12.75" x14ac:dyDescent="0.2"/>
    <row r="44" spans="1:11" s="52" customFormat="1" ht="12.75" x14ac:dyDescent="0.2">
      <c r="I44" s="150">
        <f>H34+G39</f>
        <v>9296.2533599999988</v>
      </c>
      <c r="K44" s="150">
        <f>I44*1.2</f>
        <v>11155.504031999999</v>
      </c>
    </row>
    <row r="45" spans="1:11" s="52" customFormat="1" ht="12.75" x14ac:dyDescent="0.2"/>
  </sheetData>
  <mergeCells count="9">
    <mergeCell ref="F35:G35"/>
    <mergeCell ref="H35:I35"/>
    <mergeCell ref="A3:I3"/>
    <mergeCell ref="C11:G11"/>
    <mergeCell ref="H11:I11"/>
    <mergeCell ref="H14:I14"/>
    <mergeCell ref="A32:B32"/>
    <mergeCell ref="C34:G34"/>
    <mergeCell ref="H34:I3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DFP - refino 02</vt:lpstr>
      <vt:lpstr>modelo 02</vt:lpstr>
      <vt:lpstr>catação 02</vt:lpstr>
      <vt:lpstr>DFP - refino 01</vt:lpstr>
      <vt:lpstr>modelo 01</vt:lpstr>
      <vt:lpstr>catação 01</vt:lpstr>
      <vt:lpstr>'DFP - refino 01'!Area_de_impressao</vt:lpstr>
      <vt:lpstr>'DFP - refino 02'!Area_de_impressao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 Mesquita</cp:lastModifiedBy>
  <cp:lastPrinted>2019-10-22T13:40:59Z</cp:lastPrinted>
  <dcterms:created xsi:type="dcterms:W3CDTF">2015-06-16T16:59:49Z</dcterms:created>
  <dcterms:modified xsi:type="dcterms:W3CDTF">2021-10-19T00:26:04Z</dcterms:modified>
</cp:coreProperties>
</file>