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LHO\PARANAPANEMA 2019\C.UNIFICADA rev 10\PC 969 L 19 REV 10  F. eletrico\"/>
    </mc:Choice>
  </mc:AlternateContent>
  <bookViews>
    <workbookView xWindow="0" yWindow="0" windowWidth="20490" windowHeight="9045"/>
  </bookViews>
  <sheets>
    <sheet name="DFP" sheetId="1" r:id="rId1"/>
    <sheet name="COMPOSIÇÃO" sheetId="2" r:id="rId2"/>
    <sheet name="CATAÇÃO" sheetId="4" r:id="rId3"/>
  </sheets>
  <calcPr calcId="152511"/>
</workbook>
</file>

<file path=xl/calcChain.xml><?xml version="1.0" encoding="utf-8"?>
<calcChain xmlns="http://schemas.openxmlformats.org/spreadsheetml/2006/main">
  <c r="H21" i="2" l="1"/>
  <c r="H18" i="2"/>
  <c r="H19" i="2"/>
  <c r="H20" i="2"/>
  <c r="H17" i="2"/>
  <c r="H13" i="2"/>
  <c r="H14" i="2"/>
  <c r="H15" i="2"/>
  <c r="H12" i="2"/>
  <c r="H11" i="2"/>
  <c r="H10" i="2"/>
  <c r="C55" i="2"/>
  <c r="C56" i="2"/>
  <c r="C57" i="2"/>
  <c r="C58" i="2"/>
  <c r="C59" i="2"/>
  <c r="C60" i="2"/>
  <c r="C61" i="2"/>
  <c r="C62" i="2"/>
  <c r="C63" i="2"/>
  <c r="C64" i="2"/>
  <c r="C67" i="2"/>
  <c r="C68" i="2"/>
  <c r="C69" i="2"/>
  <c r="C70" i="2"/>
  <c r="C71" i="2"/>
  <c r="C72" i="2"/>
  <c r="C73" i="2"/>
  <c r="B165" i="1" l="1"/>
  <c r="B138" i="1"/>
  <c r="D70" i="1" l="1"/>
  <c r="C65" i="1" l="1"/>
  <c r="C66" i="1"/>
  <c r="C68" i="1"/>
  <c r="G55" i="2"/>
  <c r="D46" i="1" l="1"/>
  <c r="C48" i="1" l="1"/>
  <c r="H12" i="4"/>
  <c r="H11" i="4"/>
  <c r="C51" i="1"/>
  <c r="C49" i="1"/>
  <c r="C50" i="1"/>
  <c r="C45" i="1"/>
  <c r="G15" i="2" l="1"/>
  <c r="G17" i="2"/>
  <c r="G18" i="2"/>
  <c r="G19" i="2"/>
  <c r="F14" i="2"/>
  <c r="F15" i="2"/>
  <c r="F17" i="2"/>
  <c r="F18" i="2"/>
  <c r="F19" i="2"/>
  <c r="K17" i="2" l="1"/>
  <c r="D72" i="1" l="1"/>
  <c r="G46" i="4"/>
  <c r="G45" i="4"/>
  <c r="I12" i="4" l="1"/>
  <c r="I11" i="4"/>
  <c r="G47" i="4"/>
  <c r="C44" i="1"/>
  <c r="I17" i="4" l="1"/>
  <c r="C26" i="4" l="1"/>
  <c r="C27" i="4"/>
  <c r="C32" i="4"/>
  <c r="C25" i="4"/>
  <c r="C28" i="4"/>
  <c r="C22" i="4"/>
  <c r="C36" i="4" s="1"/>
  <c r="C21" i="4"/>
  <c r="D47" i="1"/>
  <c r="C38" i="4" l="1"/>
  <c r="H40" i="4" s="1"/>
  <c r="I52" i="4" s="1"/>
  <c r="K15" i="2"/>
  <c r="B104" i="1" l="1"/>
  <c r="G68" i="2" l="1"/>
  <c r="G69" i="2"/>
  <c r="G70" i="2"/>
  <c r="G71" i="2"/>
  <c r="G72" i="2"/>
  <c r="G73" i="2"/>
  <c r="G67" i="2"/>
  <c r="G60" i="2"/>
  <c r="G61" i="2"/>
  <c r="G62" i="2"/>
  <c r="G63" i="2"/>
  <c r="G64" i="2"/>
  <c r="G59" i="2"/>
  <c r="G58" i="2"/>
  <c r="G57" i="2"/>
  <c r="G56" i="2"/>
  <c r="G54" i="2"/>
  <c r="D69" i="1"/>
  <c r="D66" i="1"/>
  <c r="G74" i="2" l="1"/>
  <c r="G65" i="2"/>
  <c r="D71" i="1"/>
  <c r="K14" i="2"/>
  <c r="D51" i="1"/>
  <c r="D45" i="1"/>
  <c r="D62" i="1"/>
  <c r="D65" i="1"/>
  <c r="C10" i="2"/>
  <c r="C21" i="2"/>
  <c r="C20" i="2"/>
  <c r="C13" i="2"/>
  <c r="C12" i="2"/>
  <c r="C11" i="2"/>
  <c r="D67" i="1"/>
  <c r="D68" i="1"/>
  <c r="C55" i="1"/>
  <c r="D55" i="1" s="1"/>
  <c r="C64" i="1"/>
  <c r="D64" i="1" s="1"/>
  <c r="D63" i="1"/>
  <c r="D44" i="1"/>
  <c r="D43" i="1"/>
  <c r="D42" i="1"/>
  <c r="D41" i="1"/>
  <c r="C40" i="1"/>
  <c r="D40" i="1" s="1"/>
  <c r="C39" i="1"/>
  <c r="D39" i="1" s="1"/>
  <c r="C38" i="1"/>
  <c r="D38" i="1" s="1"/>
  <c r="D37" i="1"/>
  <c r="D36" i="1"/>
  <c r="D57" i="1"/>
  <c r="D56" i="1"/>
  <c r="D50" i="1"/>
  <c r="D49" i="1"/>
  <c r="D48" i="1"/>
  <c r="F13" i="2" l="1"/>
  <c r="I13" i="2" s="1"/>
  <c r="K13" i="2"/>
  <c r="F20" i="2"/>
  <c r="G20" i="2"/>
  <c r="G21" i="2"/>
  <c r="F21" i="2"/>
  <c r="G11" i="2"/>
  <c r="F11" i="2"/>
  <c r="F12" i="2"/>
  <c r="G12" i="2"/>
  <c r="F10" i="2"/>
  <c r="G76" i="2"/>
  <c r="I12" i="2"/>
  <c r="K12" i="2"/>
  <c r="K10" i="2"/>
  <c r="I14" i="2"/>
  <c r="K19" i="2"/>
  <c r="K18" i="2"/>
  <c r="K21" i="2"/>
  <c r="K11" i="2"/>
  <c r="K20" i="2"/>
  <c r="I15" i="2"/>
  <c r="D59" i="1"/>
  <c r="D35" i="1"/>
  <c r="D52" i="1" s="1"/>
  <c r="E21" i="1"/>
  <c r="E20" i="1"/>
  <c r="E19" i="1"/>
  <c r="I10" i="2" l="1"/>
  <c r="I18" i="2"/>
  <c r="I19" i="2"/>
  <c r="I11" i="2"/>
  <c r="K22" i="2"/>
  <c r="I20" i="2"/>
  <c r="I21" i="2"/>
  <c r="I17" i="2"/>
  <c r="D73" i="1"/>
  <c r="E22" i="1"/>
  <c r="E23" i="1" s="1"/>
  <c r="I26" i="2" l="1"/>
  <c r="C30" i="2" s="1"/>
  <c r="E25" i="1"/>
  <c r="C145" i="1" s="1"/>
  <c r="D145" i="1" s="1"/>
  <c r="D148" i="1" s="1"/>
  <c r="C153" i="1" s="1"/>
  <c r="D153" i="1" s="1"/>
  <c r="D156" i="1" s="1"/>
  <c r="E167" i="1" s="1"/>
  <c r="C30" i="1" l="1"/>
  <c r="D111" i="1"/>
  <c r="D114" i="1" s="1"/>
  <c r="C37" i="2"/>
  <c r="C35" i="2"/>
  <c r="C31" i="2"/>
  <c r="C45" i="2" s="1"/>
  <c r="C41" i="2"/>
  <c r="C36" i="2"/>
  <c r="C34" i="2"/>
  <c r="E32" i="1"/>
  <c r="E75" i="1" s="1"/>
  <c r="C119" i="1" l="1"/>
  <c r="D119" i="1" s="1"/>
  <c r="C118" i="1"/>
  <c r="D118" i="1" s="1"/>
  <c r="D121" i="1" s="1"/>
  <c r="C126" i="1"/>
  <c r="D126" i="1" s="1"/>
  <c r="D129" i="1" s="1"/>
  <c r="E140" i="1" s="1"/>
  <c r="C88" i="1"/>
  <c r="D88" i="1" s="1"/>
  <c r="D91" i="1" s="1"/>
  <c r="C79" i="1"/>
  <c r="D79" i="1" s="1"/>
  <c r="C80" i="1"/>
  <c r="D80" i="1" s="1"/>
  <c r="C81" i="1"/>
  <c r="D81" i="1" s="1"/>
  <c r="C47" i="2"/>
  <c r="H49" i="2" l="1"/>
  <c r="D83" i="1"/>
  <c r="E95" i="1" s="1"/>
  <c r="E106" i="1" s="1"/>
  <c r="E169" i="1" s="1"/>
</calcChain>
</file>

<file path=xl/sharedStrings.xml><?xml version="1.0" encoding="utf-8"?>
<sst xmlns="http://schemas.openxmlformats.org/spreadsheetml/2006/main" count="323" uniqueCount="169">
  <si>
    <t>1.Custos Diretos</t>
  </si>
  <si>
    <t xml:space="preserve"> </t>
  </si>
  <si>
    <t>1.1 a) Mão-de-Obra (M.O)</t>
  </si>
  <si>
    <t>Categoria Profissional</t>
  </si>
  <si>
    <t>Horas/Dias/Meses Trabalhados</t>
  </si>
  <si>
    <t>Salário
 Hora/Dia/Mês (R$)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</si>
  <si>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</si>
  <si>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</si>
  <si>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</si>
  <si>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</si>
  <si>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</si>
  <si>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</si>
  <si>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</si>
  <si>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</si>
  <si>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</si>
  <si>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</si>
  <si>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</si>
  <si>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1.2 - Equipamentos Principais</t>
  </si>
  <si>
    <t>Tipo</t>
  </si>
  <si>
    <t>Quantidade      Prevista</t>
  </si>
  <si>
    <t>Custo Unitário (R$)</t>
  </si>
  <si>
    <t>Valor Total (R$)</t>
  </si>
  <si>
    <t>Total Equipamentos</t>
  </si>
  <si>
    <t>1.3 - Materiais e Ferramentaria</t>
  </si>
  <si>
    <t>Materiais de Consumo</t>
  </si>
  <si>
    <t>Ferramentas</t>
  </si>
  <si>
    <t>Total Materiais</t>
  </si>
  <si>
    <t>1.4 Outros Custos Diretos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</si>
  <si>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</si>
  <si>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</si>
  <si>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</si>
  <si>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</si>
  <si>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</si>
  <si>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</si>
  <si>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</si>
  <si>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</si>
  <si>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</si>
  <si>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</si>
  <si>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</si>
  <si>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</si>
  <si>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</si>
  <si>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</si>
  <si>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</si>
  <si>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</si>
  <si>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</si>
  <si>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</si>
  <si>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</si>
  <si>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</si>
  <si>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</si>
  <si>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</si>
  <si>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</si>
  <si>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</si>
  <si>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</si>
  <si>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</si>
  <si>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</si>
  <si>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</si>
  <si>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</si>
  <si>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</si>
  <si>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</si>
  <si>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</si>
  <si>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</si>
  <si>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</si>
  <si>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</si>
  <si>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</si>
  <si>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</si>
  <si>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>Téc. de Segurança</t>
  </si>
  <si>
    <t>Almoxarife</t>
  </si>
  <si>
    <t>Supervisor</t>
  </si>
  <si>
    <t>Pedreiro Refratarista</t>
  </si>
  <si>
    <t>Ajudante</t>
  </si>
  <si>
    <t>Marteleteiro</t>
  </si>
  <si>
    <t>Obs. Segurança</t>
  </si>
  <si>
    <t>Cortador</t>
  </si>
  <si>
    <t>Encarregado</t>
  </si>
  <si>
    <t>Aux. Administrativo</t>
  </si>
  <si>
    <t xml:space="preserve">Misturador de Concreto </t>
  </si>
  <si>
    <t>Máquina Policort</t>
  </si>
  <si>
    <t>Disco Máquina Policorte</t>
  </si>
  <si>
    <t>Serra Tico-tico</t>
  </si>
  <si>
    <t>Serra Circular</t>
  </si>
  <si>
    <t>Rádios</t>
  </si>
  <si>
    <t>vb</t>
  </si>
  <si>
    <t>Iluminaçao</t>
  </si>
  <si>
    <t>Compressor de Ar</t>
  </si>
  <si>
    <t>Martelete</t>
  </si>
  <si>
    <t>Ponteira de Martelete</t>
  </si>
  <si>
    <t>Esteira</t>
  </si>
  <si>
    <t xml:space="preserve">Toldo 6 x 6 </t>
  </si>
  <si>
    <t>Exames Médicos</t>
  </si>
  <si>
    <t>Seguro de Acidentes Pessoais</t>
  </si>
  <si>
    <t>Cesta Básica</t>
  </si>
  <si>
    <t>Higienização de EPI´S</t>
  </si>
  <si>
    <t>Adm. Central e Gerenciamento</t>
  </si>
  <si>
    <t>Despesas Financeiras</t>
  </si>
  <si>
    <t>Lucro Operacional</t>
  </si>
  <si>
    <t>Provisão p/ IRPJ e CSLL</t>
  </si>
  <si>
    <t>Fardamento</t>
  </si>
  <si>
    <t>EPI's</t>
  </si>
  <si>
    <t>Téc. de Planejamento</t>
  </si>
  <si>
    <t>COMPOSIÇÃO DE PREÇOS- Forno Eletrico</t>
  </si>
  <si>
    <t xml:space="preserve">1.1 Salários </t>
  </si>
  <si>
    <t>Quantidade</t>
  </si>
  <si>
    <t>Salário
 Básico (R$)</t>
  </si>
  <si>
    <t>Regime de
 Trabalho</t>
  </si>
  <si>
    <t>Adicional Periculosidade</t>
  </si>
  <si>
    <t>Hora Extra</t>
  </si>
  <si>
    <t>Adicional  Noturno</t>
  </si>
  <si>
    <t>Hora Normal
 (R$)</t>
  </si>
  <si>
    <t>Total
 Parcial (R$)</t>
  </si>
  <si>
    <t>Mão-de-Obra Indireta</t>
  </si>
  <si>
    <t>11 x 11</t>
  </si>
  <si>
    <t xml:space="preserve">Encarregado </t>
  </si>
  <si>
    <t>Mão-de-Obra Direta</t>
  </si>
  <si>
    <t>Total Salários</t>
  </si>
  <si>
    <t xml:space="preserve">1.2 Encargos Sociais </t>
  </si>
  <si>
    <t>Encargos Sociais</t>
  </si>
  <si>
    <t>% Encargos</t>
  </si>
  <si>
    <t>Valor Mensal</t>
  </si>
  <si>
    <t>A) Encargos Básicos</t>
  </si>
  <si>
    <t>INSS Empresa</t>
  </si>
  <si>
    <t>FGTS</t>
  </si>
  <si>
    <t xml:space="preserve">B) Encargos Esporádicos </t>
  </si>
  <si>
    <t>13º Salário</t>
  </si>
  <si>
    <t>Férias</t>
  </si>
  <si>
    <t>Auxílio Doença</t>
  </si>
  <si>
    <t>Aviso Prévio Idenizado</t>
  </si>
  <si>
    <t xml:space="preserve">C) Taxa das Reincidências </t>
  </si>
  <si>
    <t>Reincidência de "A"  x "B"</t>
  </si>
  <si>
    <t xml:space="preserve">D) Multa por Despedida </t>
  </si>
  <si>
    <t>Depósito por despedida</t>
  </si>
  <si>
    <t>50% (FGTS)</t>
  </si>
  <si>
    <t>TOTAL  ENCARGOS</t>
  </si>
  <si>
    <t>Total de M.O. + Encargos</t>
  </si>
  <si>
    <t>vg</t>
  </si>
  <si>
    <t>Container 6m - almox</t>
  </si>
  <si>
    <t>Container 6m - vest</t>
  </si>
  <si>
    <t>Container 6m - adm</t>
  </si>
  <si>
    <t>PRÊMIO PARADA</t>
  </si>
  <si>
    <t>Total</t>
  </si>
  <si>
    <t>Caminhão com motorista</t>
  </si>
  <si>
    <t>v v</t>
  </si>
  <si>
    <t>Qtd</t>
  </si>
  <si>
    <t>Dias</t>
  </si>
  <si>
    <t>desjejum</t>
  </si>
  <si>
    <t>almoço</t>
  </si>
  <si>
    <t>lanche</t>
  </si>
  <si>
    <t>Ceia</t>
  </si>
  <si>
    <t>NOITE</t>
  </si>
  <si>
    <t>ALIMENTAÇÃO</t>
  </si>
  <si>
    <t>7. Itens sem incidência de custos indiretos:</t>
  </si>
  <si>
    <t>Aviso Prévio Indenizado</t>
  </si>
  <si>
    <t>6.Preço Total  (R$)</t>
  </si>
  <si>
    <t>Empilhadeira com motorista</t>
  </si>
  <si>
    <t>Catação</t>
  </si>
  <si>
    <r>
      <t>BASE: MARCO</t>
    </r>
    <r>
      <rPr>
        <sz val="10"/>
        <rFont val="Arial"/>
        <family val="2"/>
      </rPr>
      <t>/ 2019</t>
    </r>
  </si>
  <si>
    <t xml:space="preserve">Maquina de demolição remota </t>
  </si>
  <si>
    <t>Alimentação (para serviços fora da Paranapanema)</t>
  </si>
  <si>
    <t>Passagem</t>
  </si>
  <si>
    <t>Hospedagem</t>
  </si>
  <si>
    <t xml:space="preserve">Premio de Parada </t>
  </si>
  <si>
    <t>7.1 Custos Indiretos</t>
  </si>
  <si>
    <t>7.2 Tributos Incidentes sobre o Lucro</t>
  </si>
  <si>
    <t>7.3 Tributos Incidentes sobre o Faturamento</t>
  </si>
  <si>
    <t>7.4 .Preço Total  (R$)</t>
  </si>
  <si>
    <t>8. Aviso Prévio Indenizado</t>
  </si>
  <si>
    <t>8.1 Tributos Incidentes sobre o Lucro</t>
  </si>
  <si>
    <t>8.2 Tributos Incidentes sobre o Faturamento</t>
  </si>
  <si>
    <t>8.3 Preço Total  (R$)</t>
  </si>
  <si>
    <t xml:space="preserve">Preço Total para Faturamento com desconto comercial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</si>
</sst>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  <fill>
      <patternFill patternType="lightGray">
        <fgColor indexed="27"/>
        <bgColor theme="0"/>
      </patternFill>
    </fill>
    <fill>
      <patternFill patternType="lightGray">
        <fgColor indexed="22"/>
        <bgColor theme="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2" fillId="0" borderId="0" xfId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2" fillId="0" borderId="3" xfId="1" applyFont="1" applyBorder="1"/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2" fillId="0" borderId="8" xfId="1" applyFont="1" applyBorder="1"/>
    <xf numFmtId="0" fontId="2" fillId="0" borderId="9" xfId="1" applyFont="1" applyBorder="1"/>
    <xf numFmtId="0" fontId="4" fillId="0" borderId="0" xfId="1" applyFont="1" applyBorder="1"/>
    <xf numFmtId="165" fontId="3" fillId="0" borderId="0" xfId="1" applyNumberFormat="1" applyFont="1" applyBorder="1"/>
    <xf numFmtId="0" fontId="2" fillId="0" borderId="10" xfId="1" applyFont="1" applyBorder="1"/>
    <xf numFmtId="0" fontId="2" fillId="0" borderId="6" xfId="1" applyFont="1" applyBorder="1" applyAlignment="1">
      <alignment horizontal="center"/>
    </xf>
    <xf numFmtId="165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1" xfId="3" applyNumberFormat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3" fillId="0" borderId="0" xfId="1" applyFont="1"/>
    <xf numFmtId="0" fontId="2" fillId="0" borderId="12" xfId="1" applyFont="1" applyBorder="1"/>
    <xf numFmtId="0" fontId="9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 applyProtection="1">
      <alignment vertical="center"/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165" fontId="2" fillId="4" borderId="13" xfId="3" applyFont="1" applyFill="1" applyBorder="1" applyAlignment="1" applyProtection="1">
      <alignment horizontal="center" wrapText="1"/>
      <protection locked="0"/>
    </xf>
    <xf numFmtId="0" fontId="2" fillId="4" borderId="13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10" fontId="2" fillId="4" borderId="9" xfId="1" applyNumberFormat="1" applyFont="1" applyFill="1" applyBorder="1" applyAlignment="1" applyProtection="1">
      <alignment horizontal="center"/>
      <protection locked="0"/>
    </xf>
    <xf numFmtId="10" fontId="2" fillId="4" borderId="14" xfId="1" applyNumberFormat="1" applyFont="1" applyFill="1" applyBorder="1" applyAlignment="1" applyProtection="1">
      <alignment horizontal="center"/>
      <protection locked="0"/>
    </xf>
    <xf numFmtId="10" fontId="2" fillId="4" borderId="9" xfId="1" applyNumberFormat="1" applyFont="1" applyFill="1" applyBorder="1" applyAlignment="1" applyProtection="1">
      <alignment horizontal="left"/>
      <protection locked="0"/>
    </xf>
    <xf numFmtId="0" fontId="2" fillId="4" borderId="9" xfId="1" applyNumberFormat="1" applyFont="1" applyFill="1" applyBorder="1" applyAlignment="1" applyProtection="1">
      <alignment horizontal="center"/>
      <protection locked="0"/>
    </xf>
    <xf numFmtId="165" fontId="2" fillId="4" borderId="9" xfId="3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10" fontId="2" fillId="4" borderId="8" xfId="1" applyNumberFormat="1" applyFont="1" applyFill="1" applyBorder="1" applyAlignment="1" applyProtection="1">
      <alignment horizontal="center"/>
      <protection locked="0"/>
    </xf>
    <xf numFmtId="10" fontId="2" fillId="4" borderId="17" xfId="1" applyNumberFormat="1" applyFont="1" applyFill="1" applyBorder="1" applyAlignment="1" applyProtection="1">
      <alignment horizontal="center"/>
      <protection locked="0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/>
    </xf>
    <xf numFmtId="10" fontId="2" fillId="4" borderId="1" xfId="1" applyNumberFormat="1" applyFont="1" applyFill="1" applyBorder="1" applyAlignment="1" applyProtection="1">
      <alignment horizontal="center"/>
      <protection locked="0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2" fillId="0" borderId="19" xfId="1" applyFont="1" applyBorder="1"/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5" fontId="3" fillId="0" borderId="7" xfId="1" applyNumberFormat="1" applyFont="1" applyBorder="1" applyAlignment="1" applyProtection="1">
      <alignment vertical="center"/>
      <protection locked="0"/>
    </xf>
    <xf numFmtId="165" fontId="2" fillId="3" borderId="13" xfId="3" applyFont="1" applyFill="1" applyBorder="1" applyAlignment="1" applyProtection="1">
      <alignment horizontal="center" vertical="center"/>
    </xf>
    <xf numFmtId="165" fontId="3" fillId="0" borderId="13" xfId="3" applyFont="1" applyBorder="1" applyAlignment="1" applyProtection="1">
      <alignment horizontal="center" vertical="center"/>
    </xf>
    <xf numFmtId="165" fontId="3" fillId="0" borderId="4" xfId="1" applyNumberFormat="1" applyFont="1" applyBorder="1" applyAlignment="1" applyProtection="1">
      <alignment vertical="center"/>
    </xf>
    <xf numFmtId="165" fontId="3" fillId="5" borderId="7" xfId="1" applyNumberFormat="1" applyFont="1" applyFill="1" applyBorder="1" applyAlignment="1" applyProtection="1">
      <alignment horizontal="right" vertical="center"/>
    </xf>
    <xf numFmtId="165" fontId="2" fillId="3" borderId="9" xfId="1" applyNumberFormat="1" applyFont="1" applyFill="1" applyBorder="1" applyAlignment="1" applyProtection="1">
      <alignment horizontal="center"/>
    </xf>
    <xf numFmtId="165" fontId="2" fillId="3" borderId="20" xfId="1" applyNumberFormat="1" applyFont="1" applyFill="1" applyBorder="1" applyAlignment="1" applyProtection="1">
      <alignment horizontal="center"/>
    </xf>
    <xf numFmtId="165" fontId="2" fillId="3" borderId="19" xfId="1" applyNumberFormat="1" applyFont="1" applyFill="1" applyBorder="1" applyAlignment="1" applyProtection="1">
      <alignment horizontal="center"/>
    </xf>
    <xf numFmtId="165" fontId="2" fillId="3" borderId="8" xfId="3" applyFont="1" applyFill="1" applyBorder="1" applyAlignment="1" applyProtection="1">
      <alignment horizontal="center"/>
    </xf>
    <xf numFmtId="165" fontId="2" fillId="3" borderId="13" xfId="3" applyFont="1" applyFill="1" applyBorder="1" applyAlignment="1" applyProtection="1">
      <alignment horizontal="center"/>
    </xf>
    <xf numFmtId="165" fontId="2" fillId="3" borderId="9" xfId="3" applyFont="1" applyFill="1" applyBorder="1" applyAlignment="1" applyProtection="1">
      <alignment horizontal="center"/>
    </xf>
    <xf numFmtId="165" fontId="2" fillId="3" borderId="17" xfId="3" applyFont="1" applyFill="1" applyBorder="1" applyAlignment="1" applyProtection="1">
      <alignment horizontal="center"/>
    </xf>
    <xf numFmtId="165" fontId="2" fillId="3" borderId="14" xfId="3" applyFont="1" applyFill="1" applyBorder="1" applyAlignment="1" applyProtection="1">
      <alignment horizontal="center"/>
    </xf>
    <xf numFmtId="165" fontId="2" fillId="3" borderId="1" xfId="3" applyFont="1" applyFill="1" applyBorder="1" applyAlignment="1" applyProtection="1">
      <alignment horizontal="center"/>
    </xf>
    <xf numFmtId="165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165" fontId="5" fillId="3" borderId="4" xfId="3" applyFont="1" applyFill="1" applyBorder="1" applyAlignment="1" applyProtection="1">
      <alignment vertical="center"/>
    </xf>
    <xf numFmtId="0" fontId="1" fillId="0" borderId="10" xfId="1" applyBorder="1"/>
    <xf numFmtId="0" fontId="3" fillId="5" borderId="5" xfId="1" applyFont="1" applyFill="1" applyBorder="1" applyAlignment="1">
      <alignment horizontal="right" vertical="center"/>
    </xf>
    <xf numFmtId="0" fontId="3" fillId="3" borderId="7" xfId="1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8" xfId="1" applyFont="1" applyFill="1" applyBorder="1" applyProtection="1">
      <protection locked="0"/>
    </xf>
    <xf numFmtId="0" fontId="2" fillId="0" borderId="14" xfId="1" applyFont="1" applyFill="1" applyBorder="1" applyProtection="1">
      <protection locked="0"/>
    </xf>
    <xf numFmtId="0" fontId="2" fillId="0" borderId="16" xfId="1" applyFont="1" applyFill="1" applyBorder="1" applyProtection="1">
      <protection locked="0"/>
    </xf>
    <xf numFmtId="0" fontId="3" fillId="7" borderId="4" xfId="1" applyFont="1" applyFill="1" applyBorder="1" applyAlignment="1">
      <alignment horizontal="right" vertical="center"/>
    </xf>
    <xf numFmtId="165" fontId="3" fillId="7" borderId="4" xfId="1" applyNumberFormat="1" applyFont="1" applyFill="1" applyBorder="1" applyAlignment="1" applyProtection="1">
      <alignment horizontal="right" vertical="center"/>
    </xf>
    <xf numFmtId="0" fontId="2" fillId="7" borderId="4" xfId="1" applyFont="1" applyFill="1" applyBorder="1"/>
    <xf numFmtId="0" fontId="3" fillId="8" borderId="4" xfId="1" applyFont="1" applyFill="1" applyBorder="1" applyAlignment="1">
      <alignment horizontal="right" vertical="center"/>
    </xf>
    <xf numFmtId="165" fontId="3" fillId="8" borderId="7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165" fontId="3" fillId="7" borderId="4" xfId="3" applyFont="1" applyFill="1" applyBorder="1" applyAlignment="1" applyProtection="1">
      <alignment vertical="center"/>
    </xf>
    <xf numFmtId="0" fontId="1" fillId="4" borderId="13" xfId="1" applyFont="1" applyFill="1" applyBorder="1" applyAlignment="1" applyProtection="1">
      <alignment vertical="center"/>
      <protection locked="0"/>
    </xf>
    <xf numFmtId="164" fontId="0" fillId="0" borderId="0" xfId="4" applyFont="1"/>
    <xf numFmtId="10" fontId="1" fillId="4" borderId="9" xfId="1" applyNumberFormat="1" applyFont="1" applyFill="1" applyBorder="1" applyAlignment="1" applyProtection="1">
      <alignment horizontal="left"/>
      <protection locked="0"/>
    </xf>
    <xf numFmtId="0" fontId="1" fillId="0" borderId="9" xfId="1" applyFont="1" applyBorder="1"/>
    <xf numFmtId="0" fontId="1" fillId="4" borderId="15" xfId="1" applyNumberFormat="1" applyFont="1" applyFill="1" applyBorder="1" applyAlignment="1" applyProtection="1">
      <alignment horizontal="center"/>
      <protection locked="0"/>
    </xf>
    <xf numFmtId="0" fontId="1" fillId="4" borderId="19" xfId="1" applyNumberFormat="1" applyFont="1" applyFill="1" applyBorder="1" applyAlignment="1" applyProtection="1">
      <alignment horizontal="center"/>
      <protection locked="0"/>
    </xf>
    <xf numFmtId="0" fontId="1" fillId="4" borderId="9" xfId="1" applyNumberFormat="1" applyFont="1" applyFill="1" applyBorder="1" applyAlignment="1" applyProtection="1">
      <alignment horizontal="center"/>
      <protection locked="0"/>
    </xf>
    <xf numFmtId="0" fontId="2" fillId="4" borderId="14" xfId="3" applyNumberFormat="1" applyFont="1" applyFill="1" applyBorder="1" applyAlignment="1" applyProtection="1">
      <alignment horizontal="center" vertical="center"/>
      <protection locked="0"/>
    </xf>
    <xf numFmtId="165" fontId="2" fillId="3" borderId="14" xfId="3" applyFont="1" applyFill="1" applyBorder="1" applyAlignment="1" applyProtection="1">
      <alignment horizontal="center" vertical="center"/>
    </xf>
    <xf numFmtId="0" fontId="1" fillId="0" borderId="3" xfId="1" applyFont="1" applyBorder="1"/>
    <xf numFmtId="0" fontId="14" fillId="0" borderId="0" xfId="0" applyFont="1"/>
    <xf numFmtId="0" fontId="13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1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/>
    <xf numFmtId="11" fontId="16" fillId="0" borderId="8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165" fontId="1" fillId="0" borderId="8" xfId="5" applyNumberFormat="1" applyFont="1" applyFill="1" applyBorder="1" applyAlignment="1" applyProtection="1">
      <alignment horizontal="center" wrapText="1"/>
      <protection locked="0"/>
    </xf>
    <xf numFmtId="0" fontId="1" fillId="0" borderId="8" xfId="5" applyNumberFormat="1" applyFont="1" applyFill="1" applyBorder="1" applyAlignment="1" applyProtection="1">
      <alignment horizontal="center" vertical="center"/>
      <protection locked="0"/>
    </xf>
    <xf numFmtId="165" fontId="3" fillId="9" borderId="8" xfId="5" applyNumberFormat="1" applyFont="1" applyFill="1" applyBorder="1" applyAlignment="1">
      <alignment horizontal="center" vertical="center"/>
    </xf>
    <xf numFmtId="11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9" xfId="5" applyNumberFormat="1" applyFont="1" applyFill="1" applyBorder="1" applyAlignment="1" applyProtection="1">
      <alignment horizontal="center" vertical="center"/>
      <protection locked="0"/>
    </xf>
    <xf numFmtId="166" fontId="1" fillId="0" borderId="9" xfId="4" applyNumberFormat="1" applyFont="1" applyFill="1" applyBorder="1" applyAlignment="1" applyProtection="1">
      <alignment horizontal="center" vertical="center"/>
      <protection locked="0"/>
    </xf>
    <xf numFmtId="2" fontId="1" fillId="0" borderId="9" xfId="4" applyNumberFormat="1" applyFont="1" applyFill="1" applyBorder="1" applyAlignment="1" applyProtection="1">
      <alignment horizontal="center" wrapText="1"/>
      <protection locked="0"/>
    </xf>
    <xf numFmtId="11" fontId="16" fillId="0" borderId="9" xfId="0" applyNumberFormat="1" applyFont="1" applyFill="1" applyBorder="1" applyAlignment="1" applyProtection="1">
      <alignment vertical="center"/>
      <protection locked="0"/>
    </xf>
    <xf numFmtId="166" fontId="1" fillId="9" borderId="9" xfId="4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vertical="center"/>
      <protection locked="0"/>
    </xf>
    <xf numFmtId="165" fontId="1" fillId="0" borderId="9" xfId="5" applyNumberFormat="1" applyFont="1" applyFill="1" applyBorder="1" applyAlignment="1" applyProtection="1">
      <alignment horizontal="center" wrapText="1"/>
      <protection locked="0"/>
    </xf>
    <xf numFmtId="165" fontId="1" fillId="0" borderId="9" xfId="5" applyNumberFormat="1" applyFont="1" applyFill="1" applyBorder="1" applyAlignment="1" applyProtection="1">
      <alignment horizontal="center" vertical="center"/>
      <protection locked="0"/>
    </xf>
    <xf numFmtId="165" fontId="1" fillId="9" borderId="9" xfId="5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/>
      <protection locked="0"/>
    </xf>
    <xf numFmtId="165" fontId="3" fillId="9" borderId="9" xfId="5" applyNumberFormat="1" applyFont="1" applyFill="1" applyBorder="1" applyAlignment="1">
      <alignment horizontal="center" vertical="center"/>
    </xf>
    <xf numFmtId="11" fontId="1" fillId="0" borderId="19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9" fontId="1" fillId="0" borderId="9" xfId="2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/>
    </xf>
    <xf numFmtId="0" fontId="3" fillId="0" borderId="24" xfId="0" applyFont="1" applyBorder="1" applyAlignment="1">
      <alignment horizontal="center"/>
    </xf>
    <xf numFmtId="165" fontId="1" fillId="0" borderId="0" xfId="5" applyNumberFormat="1" applyFont="1" applyFill="1" applyBorder="1" applyAlignment="1" applyProtection="1">
      <alignment horizontal="center" wrapText="1"/>
      <protection locked="0"/>
    </xf>
    <xf numFmtId="0" fontId="3" fillId="0" borderId="0" xfId="5" applyNumberFormat="1" applyFont="1" applyBorder="1" applyAlignment="1">
      <alignment horizontal="center" vertical="center"/>
    </xf>
    <xf numFmtId="165" fontId="3" fillId="0" borderId="0" xfId="5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6" fontId="3" fillId="2" borderId="4" xfId="4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11" borderId="8" xfId="0" applyFont="1" applyFill="1" applyBorder="1"/>
    <xf numFmtId="10" fontId="3" fillId="12" borderId="8" xfId="0" applyNumberFormat="1" applyFont="1" applyFill="1" applyBorder="1" applyAlignment="1" applyProtection="1">
      <alignment horizontal="center"/>
      <protection locked="0"/>
    </xf>
    <xf numFmtId="165" fontId="3" fillId="9" borderId="25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11" borderId="9" xfId="0" applyFont="1" applyFill="1" applyBorder="1"/>
    <xf numFmtId="10" fontId="1" fillId="0" borderId="9" xfId="0" applyNumberFormat="1" applyFont="1" applyFill="1" applyBorder="1" applyAlignment="1" applyProtection="1">
      <alignment horizontal="center"/>
      <protection locked="0"/>
    </xf>
    <xf numFmtId="166" fontId="1" fillId="9" borderId="26" xfId="4" applyNumberFormat="1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3" fillId="11" borderId="9" xfId="0" applyFont="1" applyFill="1" applyBorder="1"/>
    <xf numFmtId="10" fontId="3" fillId="0" borderId="9" xfId="0" applyNumberFormat="1" applyFont="1" applyFill="1" applyBorder="1" applyAlignment="1" applyProtection="1">
      <alignment horizontal="center"/>
      <protection locked="0"/>
    </xf>
    <xf numFmtId="165" fontId="3" fillId="9" borderId="26" xfId="0" applyNumberFormat="1" applyFont="1" applyFill="1" applyBorder="1" applyAlignment="1">
      <alignment horizontal="center"/>
    </xf>
    <xf numFmtId="10" fontId="1" fillId="0" borderId="26" xfId="2" applyNumberFormat="1" applyFont="1" applyFill="1" applyBorder="1" applyAlignment="1">
      <alignment horizontal="center"/>
    </xf>
    <xf numFmtId="10" fontId="18" fillId="0" borderId="9" xfId="0" applyNumberFormat="1" applyFont="1" applyFill="1" applyBorder="1" applyAlignment="1" applyProtection="1">
      <alignment horizontal="center"/>
      <protection locked="0"/>
    </xf>
    <xf numFmtId="166" fontId="3" fillId="9" borderId="26" xfId="4" applyNumberFormat="1" applyFont="1" applyFill="1" applyBorder="1" applyAlignment="1">
      <alignment horizontal="center"/>
    </xf>
    <xf numFmtId="10" fontId="3" fillId="12" borderId="9" xfId="0" applyNumberFormat="1" applyFont="1" applyFill="1" applyBorder="1" applyAlignment="1" applyProtection="1">
      <alignment horizontal="center"/>
      <protection locked="0"/>
    </xf>
    <xf numFmtId="10" fontId="1" fillId="12" borderId="9" xfId="0" applyNumberFormat="1" applyFont="1" applyFill="1" applyBorder="1" applyAlignment="1" applyProtection="1">
      <alignment horizontal="center"/>
      <protection locked="0"/>
    </xf>
    <xf numFmtId="0" fontId="1" fillId="11" borderId="14" xfId="0" applyFont="1" applyFill="1" applyBorder="1"/>
    <xf numFmtId="10" fontId="1" fillId="12" borderId="14" xfId="0" applyNumberFormat="1" applyFont="1" applyFill="1" applyBorder="1" applyAlignment="1" applyProtection="1">
      <alignment horizontal="center"/>
      <protection locked="0"/>
    </xf>
    <xf numFmtId="165" fontId="1" fillId="9" borderId="27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left" vertical="center"/>
    </xf>
    <xf numFmtId="10" fontId="3" fillId="5" borderId="4" xfId="0" applyNumberFormat="1" applyFont="1" applyFill="1" applyBorder="1" applyAlignment="1">
      <alignment horizontal="center" vertical="center"/>
    </xf>
    <xf numFmtId="166" fontId="3" fillId="5" borderId="4" xfId="4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left"/>
    </xf>
    <xf numFmtId="10" fontId="1" fillId="0" borderId="0" xfId="2" applyNumberFormat="1" applyFont="1" applyFill="1" applyBorder="1" applyAlignment="1">
      <alignment horizontal="center"/>
    </xf>
    <xf numFmtId="9" fontId="1" fillId="0" borderId="0" xfId="2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165" fontId="1" fillId="0" borderId="0" xfId="0" applyNumberFormat="1" applyFont="1"/>
    <xf numFmtId="0" fontId="3" fillId="5" borderId="6" xfId="0" applyFont="1" applyFill="1" applyBorder="1" applyAlignment="1">
      <alignment horizontal="center" vertical="center"/>
    </xf>
    <xf numFmtId="0" fontId="1" fillId="0" borderId="3" xfId="1" applyFont="1" applyFill="1" applyBorder="1" applyProtection="1">
      <protection locked="0"/>
    </xf>
    <xf numFmtId="164" fontId="0" fillId="10" borderId="0" xfId="4" applyFont="1" applyFill="1"/>
    <xf numFmtId="0" fontId="1" fillId="0" borderId="4" xfId="0" applyFont="1" applyBorder="1" applyAlignment="1">
      <alignment horizontal="center"/>
    </xf>
    <xf numFmtId="166" fontId="1" fillId="0" borderId="9" xfId="4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center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167" fontId="1" fillId="0" borderId="4" xfId="0" applyNumberFormat="1" applyFont="1" applyBorder="1" applyAlignment="1">
      <alignment horizontal="center"/>
    </xf>
    <xf numFmtId="164" fontId="1" fillId="0" borderId="4" xfId="4" applyFont="1" applyBorder="1" applyAlignment="1">
      <alignment horizontal="center" vertical="center"/>
    </xf>
    <xf numFmtId="164" fontId="3" fillId="9" borderId="4" xfId="0" applyNumberFormat="1" applyFont="1" applyFill="1" applyBorder="1"/>
    <xf numFmtId="164" fontId="3" fillId="10" borderId="0" xfId="0" applyNumberFormat="1" applyFont="1" applyFill="1"/>
    <xf numFmtId="165" fontId="1" fillId="4" borderId="9" xfId="3" applyFont="1" applyFill="1" applyBorder="1" applyAlignment="1" applyProtection="1">
      <alignment horizontal="center"/>
      <protection locked="0"/>
    </xf>
    <xf numFmtId="165" fontId="1" fillId="3" borderId="9" xfId="1" applyNumberFormat="1" applyFont="1" applyFill="1" applyBorder="1" applyAlignment="1" applyProtection="1">
      <alignment horizontal="center"/>
    </xf>
    <xf numFmtId="0" fontId="1" fillId="4" borderId="9" xfId="1" applyFont="1" applyFill="1" applyBorder="1" applyAlignment="1" applyProtection="1">
      <alignment horizontal="center"/>
      <protection locked="0"/>
    </xf>
    <xf numFmtId="165" fontId="1" fillId="3" borderId="13" xfId="3" applyFont="1" applyFill="1" applyBorder="1" applyAlignment="1" applyProtection="1">
      <alignment horizontal="center"/>
    </xf>
    <xf numFmtId="43" fontId="2" fillId="0" borderId="0" xfId="1" applyNumberFormat="1" applyFont="1"/>
    <xf numFmtId="43" fontId="2" fillId="0" borderId="0" xfId="1" applyNumberFormat="1" applyFont="1" applyAlignment="1">
      <alignment horizontal="center" vertical="center"/>
    </xf>
    <xf numFmtId="164" fontId="3" fillId="2" borderId="4" xfId="4" applyFont="1" applyFill="1" applyBorder="1" applyAlignment="1">
      <alignment horizontal="left"/>
    </xf>
    <xf numFmtId="0" fontId="1" fillId="0" borderId="2" xfId="1" applyFont="1" applyBorder="1"/>
    <xf numFmtId="10" fontId="3" fillId="5" borderId="4" xfId="2" applyNumberFormat="1" applyFont="1" applyFill="1" applyBorder="1" applyAlignment="1" applyProtection="1">
      <alignment vertical="center"/>
    </xf>
    <xf numFmtId="2" fontId="1" fillId="9" borderId="9" xfId="4" applyNumberFormat="1" applyFont="1" applyFill="1" applyBorder="1" applyAlignment="1" applyProtection="1">
      <alignment horizontal="center" wrapText="1"/>
      <protection locked="0"/>
    </xf>
    <xf numFmtId="0" fontId="3" fillId="9" borderId="0" xfId="1" applyFont="1" applyFill="1" applyAlignment="1">
      <alignment horizontal="left" vertical="center"/>
    </xf>
    <xf numFmtId="0" fontId="3" fillId="9" borderId="0" xfId="1" applyFont="1" applyFill="1" applyAlignment="1">
      <alignment horizontal="left"/>
    </xf>
    <xf numFmtId="0" fontId="0" fillId="9" borderId="0" xfId="0" applyFill="1"/>
    <xf numFmtId="165" fontId="5" fillId="9" borderId="0" xfId="3" applyFont="1" applyFill="1" applyBorder="1" applyAlignment="1" applyProtection="1">
      <alignment vertical="center"/>
    </xf>
    <xf numFmtId="0" fontId="1" fillId="0" borderId="9" xfId="1" applyFont="1" applyFill="1" applyBorder="1" applyProtection="1">
      <protection locked="0"/>
    </xf>
    <xf numFmtId="165" fontId="1" fillId="3" borderId="9" xfId="3" applyFont="1" applyFill="1" applyBorder="1" applyAlignment="1" applyProtection="1">
      <alignment horizontal="center"/>
    </xf>
    <xf numFmtId="0" fontId="1" fillId="0" borderId="0" xfId="1" applyFont="1"/>
    <xf numFmtId="165" fontId="3" fillId="5" borderId="1" xfId="1" applyNumberFormat="1" applyFont="1" applyFill="1" applyBorder="1" applyAlignment="1" applyProtection="1">
      <alignment horizontal="right" vertical="center"/>
    </xf>
    <xf numFmtId="0" fontId="1" fillId="0" borderId="8" xfId="1" applyFont="1" applyBorder="1"/>
    <xf numFmtId="10" fontId="1" fillId="4" borderId="8" xfId="1" applyNumberFormat="1" applyFont="1" applyFill="1" applyBorder="1" applyAlignment="1" applyProtection="1">
      <alignment horizontal="center"/>
      <protection locked="0"/>
    </xf>
    <xf numFmtId="10" fontId="1" fillId="4" borderId="9" xfId="1" applyNumberFormat="1" applyFont="1" applyFill="1" applyBorder="1" applyAlignment="1" applyProtection="1">
      <alignment horizontal="center"/>
      <protection locked="0"/>
    </xf>
    <xf numFmtId="43" fontId="1" fillId="0" borderId="0" xfId="1" applyNumberFormat="1" applyFont="1"/>
    <xf numFmtId="10" fontId="1" fillId="4" borderId="14" xfId="1" applyNumberFormat="1" applyFont="1" applyFill="1" applyBorder="1" applyAlignment="1" applyProtection="1">
      <alignment horizontal="center"/>
      <protection locked="0"/>
    </xf>
    <xf numFmtId="10" fontId="1" fillId="0" borderId="0" xfId="1" applyNumberFormat="1" applyFont="1" applyAlignment="1">
      <alignment horizontal="center"/>
    </xf>
    <xf numFmtId="43" fontId="1" fillId="0" borderId="0" xfId="1" applyNumberFormat="1" applyFont="1" applyAlignment="1">
      <alignment horizontal="center" vertical="center"/>
    </xf>
    <xf numFmtId="0" fontId="1" fillId="3" borderId="6" xfId="1" applyFont="1" applyFill="1" applyBorder="1" applyAlignment="1">
      <alignment vertical="center"/>
    </xf>
    <xf numFmtId="0" fontId="1" fillId="3" borderId="7" xfId="1" applyFont="1" applyFill="1" applyBorder="1" applyAlignment="1">
      <alignment vertical="center"/>
    </xf>
    <xf numFmtId="10" fontId="1" fillId="13" borderId="9" xfId="1" applyNumberFormat="1" applyFont="1" applyFill="1" applyBorder="1" applyAlignment="1" applyProtection="1">
      <alignment horizontal="left"/>
      <protection locked="0"/>
    </xf>
    <xf numFmtId="44" fontId="14" fillId="0" borderId="0" xfId="0" applyNumberFormat="1" applyFont="1"/>
    <xf numFmtId="166" fontId="1" fillId="9" borderId="9" xfId="4" applyNumberFormat="1" applyFont="1" applyFill="1" applyBorder="1" applyAlignment="1" applyProtection="1">
      <alignment horizontal="center" vertical="center"/>
      <protection locked="0"/>
    </xf>
    <xf numFmtId="165" fontId="1" fillId="4" borderId="9" xfId="3" applyFont="1" applyFill="1" applyBorder="1" applyAlignment="1" applyProtection="1">
      <alignment horizontal="right"/>
      <protection locked="0"/>
    </xf>
    <xf numFmtId="165" fontId="1" fillId="3" borderId="13" xfId="3" applyFont="1" applyFill="1" applyBorder="1" applyAlignment="1" applyProtection="1">
      <alignment horizontal="right"/>
    </xf>
    <xf numFmtId="164" fontId="1" fillId="0" borderId="0" xfId="4" applyFont="1"/>
    <xf numFmtId="165" fontId="3" fillId="5" borderId="6" xfId="1" applyNumberFormat="1" applyFont="1" applyFill="1" applyBorder="1" applyAlignment="1" applyProtection="1">
      <alignment horizontal="right" vertical="center"/>
    </xf>
    <xf numFmtId="165" fontId="3" fillId="14" borderId="18" xfId="1" applyNumberFormat="1" applyFont="1" applyFill="1" applyBorder="1" applyAlignment="1" applyProtection="1">
      <alignment horizontal="right" vertical="center"/>
    </xf>
    <xf numFmtId="165" fontId="1" fillId="3" borderId="8" xfId="3" applyFont="1" applyFill="1" applyBorder="1" applyAlignment="1" applyProtection="1">
      <alignment horizontal="center"/>
    </xf>
    <xf numFmtId="0" fontId="1" fillId="0" borderId="14" xfId="1" applyFont="1" applyFill="1" applyBorder="1" applyProtection="1">
      <protection locked="0"/>
    </xf>
    <xf numFmtId="165" fontId="1" fillId="3" borderId="14" xfId="3" applyFont="1" applyFill="1" applyBorder="1" applyAlignment="1" applyProtection="1">
      <alignment horizontal="center"/>
    </xf>
    <xf numFmtId="0" fontId="1" fillId="0" borderId="16" xfId="1" applyFont="1" applyFill="1" applyBorder="1" applyProtection="1">
      <protection locked="0"/>
    </xf>
    <xf numFmtId="10" fontId="1" fillId="4" borderId="1" xfId="1" applyNumberFormat="1" applyFont="1" applyFill="1" applyBorder="1" applyAlignment="1" applyProtection="1">
      <alignment horizontal="center"/>
      <protection locked="0"/>
    </xf>
    <xf numFmtId="165" fontId="1" fillId="3" borderId="1" xfId="3" applyFont="1" applyFill="1" applyBorder="1" applyAlignment="1" applyProtection="1">
      <alignment horizontal="center"/>
    </xf>
    <xf numFmtId="0" fontId="1" fillId="5" borderId="7" xfId="1" applyFont="1" applyFill="1" applyBorder="1" applyAlignment="1">
      <alignment vertical="center"/>
    </xf>
    <xf numFmtId="0" fontId="1" fillId="0" borderId="1" xfId="1" applyFont="1" applyBorder="1"/>
    <xf numFmtId="165" fontId="14" fillId="3" borderId="4" xfId="3" applyFont="1" applyFill="1" applyBorder="1" applyAlignment="1" applyProtection="1">
      <alignment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6" fontId="3" fillId="5" borderId="5" xfId="4" applyNumberFormat="1" applyFont="1" applyFill="1" applyBorder="1" applyAlignment="1">
      <alignment horizontal="center" vertical="center"/>
    </xf>
    <xf numFmtId="166" fontId="3" fillId="5" borderId="7" xfId="4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</cellXfs>
  <cellStyles count="6">
    <cellStyle name="Moeda" xfId="4" builtinId="4"/>
    <cellStyle name="Normal" xfId="0" builtinId="0"/>
    <cellStyle name="Normal 2" xfId="1"/>
    <cellStyle name="Porcentagem 2" xfId="2"/>
    <cellStyle name="Vírgula" xfId="5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0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showGridLines="0" tabSelected="1" view="pageBreakPreview" topLeftCell="A158" zoomScaleNormal="100" zoomScaleSheetLayoutView="100" workbookViewId="0">
      <selection activeCell="E170" sqref="E170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6.140625" customWidth="1"/>
    <col min="6" max="6" width="12" customWidth="1"/>
  </cols>
  <sheetData>
    <row r="1" spans="1:5" ht="7.5" customHeight="1" thickBot="1" x14ac:dyDescent="0.3"/>
    <row r="2" spans="1:5" ht="24.75" customHeight="1" thickBot="1" x14ac:dyDescent="0.3">
      <c r="A2" s="230" t="s">
        <v>63</v>
      </c>
      <c r="B2" s="231"/>
      <c r="C2" s="231"/>
      <c r="D2" s="231"/>
      <c r="E2" s="232"/>
    </row>
    <row r="4" spans="1:5" x14ac:dyDescent="0.25">
      <c r="A4" s="53" t="s">
        <v>0</v>
      </c>
      <c r="B4" s="51" t="s">
        <v>1</v>
      </c>
      <c r="C4" s="51"/>
      <c r="D4" s="51"/>
      <c r="E4" s="51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38.25" x14ac:dyDescent="0.25">
      <c r="A7" s="33" t="s">
        <v>3</v>
      </c>
      <c r="B7" s="33" t="s">
        <v>4</v>
      </c>
      <c r="C7" s="33" t="s">
        <v>5</v>
      </c>
      <c r="D7" s="33" t="s">
        <v>6</v>
      </c>
      <c r="E7" s="33" t="s">
        <v>7</v>
      </c>
    </row>
    <row r="8" spans="1:5" x14ac:dyDescent="0.25">
      <c r="A8" s="96" t="s">
        <v>98</v>
      </c>
      <c r="B8" s="35">
        <v>35</v>
      </c>
      <c r="C8" s="36">
        <v>226.52</v>
      </c>
      <c r="D8" s="37">
        <v>1</v>
      </c>
      <c r="E8" s="62">
        <v>11195.371200000001</v>
      </c>
    </row>
    <row r="9" spans="1:5" x14ac:dyDescent="0.25">
      <c r="A9" s="96" t="s">
        <v>65</v>
      </c>
      <c r="B9" s="35">
        <v>20</v>
      </c>
      <c r="C9" s="36">
        <v>502.12947956363644</v>
      </c>
      <c r="D9" s="37">
        <v>2</v>
      </c>
      <c r="E9" s="62">
        <v>15256.320314181819</v>
      </c>
    </row>
    <row r="10" spans="1:5" x14ac:dyDescent="0.25">
      <c r="A10" s="96" t="s">
        <v>66</v>
      </c>
      <c r="B10" s="35">
        <v>20</v>
      </c>
      <c r="C10" s="36">
        <v>273.96862133333337</v>
      </c>
      <c r="D10" s="37">
        <v>1</v>
      </c>
      <c r="E10" s="62">
        <v>4433.9069745454544</v>
      </c>
    </row>
    <row r="11" spans="1:5" x14ac:dyDescent="0.25">
      <c r="A11" s="96" t="s">
        <v>74</v>
      </c>
      <c r="B11" s="35">
        <v>20</v>
      </c>
      <c r="C11" s="36">
        <v>231.80490666666665</v>
      </c>
      <c r="D11" s="37">
        <v>1</v>
      </c>
      <c r="E11" s="62">
        <v>3478.9664000000002</v>
      </c>
    </row>
    <row r="12" spans="1:5" x14ac:dyDescent="0.25">
      <c r="A12" s="96" t="s">
        <v>67</v>
      </c>
      <c r="B12" s="35">
        <v>20</v>
      </c>
      <c r="C12" s="36">
        <v>921.63413333333335</v>
      </c>
      <c r="D12" s="37">
        <v>1</v>
      </c>
      <c r="E12" s="62">
        <v>12233.728000000001</v>
      </c>
    </row>
    <row r="13" spans="1:5" x14ac:dyDescent="0.25">
      <c r="A13" s="96" t="s">
        <v>73</v>
      </c>
      <c r="B13" s="35">
        <v>20</v>
      </c>
      <c r="C13" s="36">
        <v>461.33013333333332</v>
      </c>
      <c r="D13" s="37">
        <v>2</v>
      </c>
      <c r="E13" s="62">
        <v>14016.704</v>
      </c>
    </row>
    <row r="14" spans="1:5" x14ac:dyDescent="0.25">
      <c r="A14" s="34" t="s">
        <v>68</v>
      </c>
      <c r="B14" s="35">
        <v>20</v>
      </c>
      <c r="C14" s="36">
        <v>263.17527253333333</v>
      </c>
      <c r="D14" s="37">
        <v>14</v>
      </c>
      <c r="E14" s="62">
        <v>57660.344000000012</v>
      </c>
    </row>
    <row r="15" spans="1:5" x14ac:dyDescent="0.25">
      <c r="A15" s="34" t="s">
        <v>69</v>
      </c>
      <c r="B15" s="35">
        <v>20</v>
      </c>
      <c r="C15" s="36">
        <v>137.47144572121215</v>
      </c>
      <c r="D15" s="37">
        <v>12</v>
      </c>
      <c r="E15" s="62">
        <v>27113.760000000002</v>
      </c>
    </row>
    <row r="16" spans="1:5" x14ac:dyDescent="0.25">
      <c r="A16" s="34" t="s">
        <v>70</v>
      </c>
      <c r="B16" s="35">
        <v>20</v>
      </c>
      <c r="C16" s="36">
        <v>235.9876322424243</v>
      </c>
      <c r="D16" s="37">
        <v>8</v>
      </c>
      <c r="E16" s="62">
        <v>29587.295999999998</v>
      </c>
    </row>
    <row r="17" spans="1:5" x14ac:dyDescent="0.25">
      <c r="A17" s="34" t="s">
        <v>71</v>
      </c>
      <c r="B17" s="35">
        <v>20</v>
      </c>
      <c r="C17" s="36">
        <v>246.94730666666666</v>
      </c>
      <c r="D17" s="37">
        <v>2</v>
      </c>
      <c r="E17" s="62">
        <v>7503.0592000000006</v>
      </c>
    </row>
    <row r="18" spans="1:5" x14ac:dyDescent="0.25">
      <c r="A18" s="96" t="s">
        <v>72</v>
      </c>
      <c r="B18" s="35">
        <v>20</v>
      </c>
      <c r="C18" s="36">
        <v>246.94730666666666</v>
      </c>
      <c r="D18" s="37">
        <v>2</v>
      </c>
      <c r="E18" s="62">
        <v>7503.0592000000006</v>
      </c>
    </row>
    <row r="19" spans="1:5" x14ac:dyDescent="0.25">
      <c r="A19" s="34"/>
      <c r="B19" s="35"/>
      <c r="C19" s="36"/>
      <c r="D19" s="37"/>
      <c r="E19" s="62">
        <f t="shared" ref="E19:E21" si="0">C19*B19*D19</f>
        <v>0</v>
      </c>
    </row>
    <row r="20" spans="1:5" x14ac:dyDescent="0.25">
      <c r="A20" s="34"/>
      <c r="B20" s="35"/>
      <c r="C20" s="36"/>
      <c r="D20" s="37"/>
      <c r="E20" s="62">
        <f t="shared" si="0"/>
        <v>0</v>
      </c>
    </row>
    <row r="21" spans="1:5" x14ac:dyDescent="0.25">
      <c r="A21" s="34"/>
      <c r="B21" s="35"/>
      <c r="C21" s="36"/>
      <c r="D21" s="103"/>
      <c r="E21" s="104">
        <f t="shared" si="0"/>
        <v>0</v>
      </c>
    </row>
    <row r="22" spans="1:5" x14ac:dyDescent="0.25">
      <c r="A22" s="24" t="s">
        <v>8</v>
      </c>
      <c r="B22" s="22"/>
      <c r="C22" s="23"/>
      <c r="D22" s="25"/>
      <c r="E22" s="63">
        <f>SUM(E8:E21)</f>
        <v>189982.51528872727</v>
      </c>
    </row>
    <row r="23" spans="1:5" x14ac:dyDescent="0.25">
      <c r="A23" s="59" t="s">
        <v>9</v>
      </c>
      <c r="B23" s="60"/>
      <c r="C23" s="60"/>
      <c r="D23" s="61"/>
      <c r="E23" s="64">
        <f>E22*30%</f>
        <v>56994.754586618183</v>
      </c>
    </row>
    <row r="24" spans="1:5" x14ac:dyDescent="0.25">
      <c r="A24" s="19"/>
      <c r="B24" s="3"/>
      <c r="C24" s="21"/>
      <c r="D24" s="20"/>
      <c r="E24" s="20"/>
    </row>
    <row r="25" spans="1:5" x14ac:dyDescent="0.25">
      <c r="A25" s="2"/>
      <c r="B25" s="2"/>
      <c r="C25" s="86"/>
      <c r="D25" s="86" t="s">
        <v>10</v>
      </c>
      <c r="E25" s="87">
        <f>E22+E23</f>
        <v>246977.26987534546</v>
      </c>
    </row>
    <row r="26" spans="1:5" x14ac:dyDescent="0.25">
      <c r="A26" s="2"/>
      <c r="B26" s="2"/>
      <c r="C26" s="2"/>
      <c r="D26" s="2"/>
      <c r="E26" s="2"/>
    </row>
    <row r="27" spans="1:5" x14ac:dyDescent="0.25">
      <c r="A27" s="6" t="s">
        <v>11</v>
      </c>
      <c r="B27" s="2"/>
      <c r="C27" s="2"/>
      <c r="D27" s="2"/>
    </row>
    <row r="28" spans="1:5" x14ac:dyDescent="0.25">
      <c r="A28" s="44" t="s">
        <v>12</v>
      </c>
      <c r="B28" s="44" t="s">
        <v>13</v>
      </c>
      <c r="C28" s="44" t="s">
        <v>14</v>
      </c>
      <c r="D28" s="7"/>
    </row>
    <row r="29" spans="1:5" x14ac:dyDescent="0.25">
      <c r="A29" s="78"/>
      <c r="B29" s="78"/>
      <c r="C29" s="78"/>
      <c r="D29" s="1"/>
    </row>
    <row r="30" spans="1:5" x14ac:dyDescent="0.25">
      <c r="A30" s="79" t="s">
        <v>15</v>
      </c>
      <c r="B30" s="194">
        <v>0.85</v>
      </c>
      <c r="C30" s="81">
        <f>E25*B30</f>
        <v>209930.67939404363</v>
      </c>
      <c r="D30" s="8"/>
      <c r="E30" s="2"/>
    </row>
    <row r="31" spans="1:5" x14ac:dyDescent="0.25">
      <c r="A31" s="2"/>
      <c r="B31" s="7"/>
      <c r="C31" s="2"/>
      <c r="D31" s="2"/>
      <c r="E31" s="2"/>
    </row>
    <row r="32" spans="1:5" x14ac:dyDescent="0.25">
      <c r="A32" s="9"/>
      <c r="B32" s="2"/>
      <c r="C32" s="88"/>
      <c r="D32" s="89" t="s">
        <v>16</v>
      </c>
      <c r="E32" s="90">
        <f>E25+C30</f>
        <v>456907.94926938909</v>
      </c>
    </row>
    <row r="33" spans="1:5" x14ac:dyDescent="0.25">
      <c r="A33" s="30" t="s">
        <v>17</v>
      </c>
      <c r="B33" s="2"/>
      <c r="C33" s="2"/>
      <c r="D33" s="2"/>
      <c r="E33" s="2"/>
    </row>
    <row r="34" spans="1:5" ht="25.5" x14ac:dyDescent="0.25">
      <c r="A34" s="33" t="s">
        <v>18</v>
      </c>
      <c r="B34" s="48" t="s">
        <v>19</v>
      </c>
      <c r="C34" s="48" t="s">
        <v>20</v>
      </c>
      <c r="D34" s="80" t="s">
        <v>21</v>
      </c>
      <c r="E34" s="2"/>
    </row>
    <row r="35" spans="1:5" x14ac:dyDescent="0.25">
      <c r="A35" s="41" t="s">
        <v>75</v>
      </c>
      <c r="B35" s="42">
        <v>1</v>
      </c>
      <c r="C35" s="43">
        <v>1400</v>
      </c>
      <c r="D35" s="66">
        <f>C35*B35</f>
        <v>1400</v>
      </c>
      <c r="E35" s="2"/>
    </row>
    <row r="36" spans="1:5" x14ac:dyDescent="0.25">
      <c r="A36" s="41" t="s">
        <v>76</v>
      </c>
      <c r="B36" s="42">
        <v>1</v>
      </c>
      <c r="C36" s="43">
        <v>1100</v>
      </c>
      <c r="D36" s="66">
        <f t="shared" ref="D36:D51" si="1">C36*B36</f>
        <v>1100</v>
      </c>
      <c r="E36" s="2"/>
    </row>
    <row r="37" spans="1:5" x14ac:dyDescent="0.25">
      <c r="A37" s="98" t="s">
        <v>77</v>
      </c>
      <c r="B37" s="42">
        <v>8</v>
      </c>
      <c r="C37" s="43">
        <v>600</v>
      </c>
      <c r="D37" s="66">
        <f t="shared" si="1"/>
        <v>4800</v>
      </c>
      <c r="E37" s="2"/>
    </row>
    <row r="38" spans="1:5" x14ac:dyDescent="0.25">
      <c r="A38" s="41" t="s">
        <v>78</v>
      </c>
      <c r="B38" s="42">
        <v>1</v>
      </c>
      <c r="C38" s="43">
        <f>110*1.2</f>
        <v>132</v>
      </c>
      <c r="D38" s="66">
        <f t="shared" si="1"/>
        <v>132</v>
      </c>
      <c r="E38" s="2"/>
    </row>
    <row r="39" spans="1:5" x14ac:dyDescent="0.25">
      <c r="A39" s="41" t="s">
        <v>79</v>
      </c>
      <c r="B39" s="42">
        <v>1</v>
      </c>
      <c r="C39" s="43">
        <f>110*1.2</f>
        <v>132</v>
      </c>
      <c r="D39" s="66">
        <f t="shared" si="1"/>
        <v>132</v>
      </c>
      <c r="E39" s="2"/>
    </row>
    <row r="40" spans="1:5" x14ac:dyDescent="0.25">
      <c r="A40" s="41" t="s">
        <v>80</v>
      </c>
      <c r="B40" s="42">
        <v>3</v>
      </c>
      <c r="C40" s="43">
        <f>250*1.2</f>
        <v>300</v>
      </c>
      <c r="D40" s="66">
        <f t="shared" si="1"/>
        <v>900</v>
      </c>
      <c r="E40" s="2"/>
    </row>
    <row r="41" spans="1:5" x14ac:dyDescent="0.25">
      <c r="A41" s="41" t="s">
        <v>83</v>
      </c>
      <c r="B41" s="42" t="s">
        <v>81</v>
      </c>
      <c r="C41" s="43">
        <v>7800</v>
      </c>
      <c r="D41" s="66">
        <f>C41</f>
        <v>7800</v>
      </c>
      <c r="E41" s="2"/>
    </row>
    <row r="42" spans="1:5" x14ac:dyDescent="0.25">
      <c r="A42" s="41" t="s">
        <v>84</v>
      </c>
      <c r="B42" s="42">
        <v>8</v>
      </c>
      <c r="C42" s="43">
        <v>1200</v>
      </c>
      <c r="D42" s="66">
        <f t="shared" si="1"/>
        <v>9600</v>
      </c>
      <c r="E42" s="2"/>
    </row>
    <row r="43" spans="1:5" x14ac:dyDescent="0.25">
      <c r="A43" s="98" t="s">
        <v>85</v>
      </c>
      <c r="B43" s="42">
        <v>90</v>
      </c>
      <c r="C43" s="43">
        <v>180</v>
      </c>
      <c r="D43" s="66">
        <f t="shared" si="1"/>
        <v>16200</v>
      </c>
      <c r="E43" s="2"/>
    </row>
    <row r="44" spans="1:5" x14ac:dyDescent="0.25">
      <c r="A44" s="41" t="s">
        <v>139</v>
      </c>
      <c r="B44" s="42">
        <v>1</v>
      </c>
      <c r="C44" s="186">
        <f>14000</f>
        <v>14000</v>
      </c>
      <c r="D44" s="187">
        <f t="shared" si="1"/>
        <v>14000</v>
      </c>
      <c r="E44" s="2"/>
    </row>
    <row r="45" spans="1:5" x14ac:dyDescent="0.25">
      <c r="A45" s="41" t="s">
        <v>152</v>
      </c>
      <c r="B45" s="102" t="s">
        <v>133</v>
      </c>
      <c r="C45" s="186">
        <f>3700+6200+(70*2*14+70*10*6)+500+1300</f>
        <v>17860</v>
      </c>
      <c r="D45" s="187">
        <f>C45</f>
        <v>17860</v>
      </c>
      <c r="E45" s="2"/>
    </row>
    <row r="46" spans="1:5" x14ac:dyDescent="0.25">
      <c r="A46" s="98" t="s">
        <v>155</v>
      </c>
      <c r="B46" s="102" t="s">
        <v>133</v>
      </c>
      <c r="C46" s="186">
        <v>60000</v>
      </c>
      <c r="D46" s="187">
        <f>C46</f>
        <v>60000</v>
      </c>
      <c r="E46" s="2"/>
    </row>
    <row r="47" spans="1:5" x14ac:dyDescent="0.25">
      <c r="A47" s="213" t="s">
        <v>86</v>
      </c>
      <c r="B47" s="102" t="s">
        <v>133</v>
      </c>
      <c r="C47" s="186">
        <v>6000</v>
      </c>
      <c r="D47" s="187">
        <f>C47</f>
        <v>6000</v>
      </c>
      <c r="E47" s="2"/>
    </row>
    <row r="48" spans="1:5" x14ac:dyDescent="0.25">
      <c r="A48" s="213" t="s">
        <v>87</v>
      </c>
      <c r="B48" s="102">
        <v>1</v>
      </c>
      <c r="C48" s="186">
        <f>800</f>
        <v>800</v>
      </c>
      <c r="D48" s="187">
        <f t="shared" si="1"/>
        <v>800</v>
      </c>
      <c r="E48" s="2"/>
    </row>
    <row r="49" spans="1:5" x14ac:dyDescent="0.25">
      <c r="A49" s="41" t="s">
        <v>134</v>
      </c>
      <c r="B49" s="102">
        <v>1</v>
      </c>
      <c r="C49" s="186">
        <f>480</f>
        <v>480</v>
      </c>
      <c r="D49" s="187">
        <f t="shared" si="1"/>
        <v>480</v>
      </c>
      <c r="E49" s="2"/>
    </row>
    <row r="50" spans="1:5" x14ac:dyDescent="0.25">
      <c r="A50" s="41" t="s">
        <v>135</v>
      </c>
      <c r="B50" s="102">
        <v>2</v>
      </c>
      <c r="C50" s="186">
        <f>900</f>
        <v>900</v>
      </c>
      <c r="D50" s="187">
        <f t="shared" si="1"/>
        <v>1800</v>
      </c>
      <c r="E50" s="2"/>
    </row>
    <row r="51" spans="1:5" x14ac:dyDescent="0.25">
      <c r="A51" s="41" t="s">
        <v>136</v>
      </c>
      <c r="B51" s="102">
        <v>1</v>
      </c>
      <c r="C51" s="186">
        <f>500+400</f>
        <v>900</v>
      </c>
      <c r="D51" s="187">
        <f t="shared" si="1"/>
        <v>900</v>
      </c>
      <c r="E51" s="2"/>
    </row>
    <row r="52" spans="1:5" x14ac:dyDescent="0.25">
      <c r="A52" s="5"/>
      <c r="B52" s="2"/>
      <c r="C52" s="52" t="s">
        <v>22</v>
      </c>
      <c r="D52" s="65">
        <f>SUM(D35:D51)</f>
        <v>143904</v>
      </c>
    </row>
    <row r="53" spans="1:5" x14ac:dyDescent="0.25">
      <c r="A53" s="30" t="s">
        <v>23</v>
      </c>
      <c r="B53" s="2"/>
      <c r="C53" s="2"/>
      <c r="D53" s="2"/>
    </row>
    <row r="54" spans="1:5" ht="25.5" x14ac:dyDescent="0.25">
      <c r="A54" s="44" t="s">
        <v>18</v>
      </c>
      <c r="B54" s="45" t="s">
        <v>19</v>
      </c>
      <c r="C54" s="38" t="s">
        <v>20</v>
      </c>
      <c r="D54" s="80" t="s">
        <v>21</v>
      </c>
    </row>
    <row r="55" spans="1:5" x14ac:dyDescent="0.25">
      <c r="A55" s="31" t="s">
        <v>24</v>
      </c>
      <c r="B55" s="100" t="s">
        <v>81</v>
      </c>
      <c r="C55" s="43">
        <f>2800*1.2</f>
        <v>3360</v>
      </c>
      <c r="D55" s="67">
        <f>C55</f>
        <v>3360</v>
      </c>
    </row>
    <row r="56" spans="1:5" x14ac:dyDescent="0.25">
      <c r="A56" s="58" t="s">
        <v>25</v>
      </c>
      <c r="B56" s="102" t="s">
        <v>81</v>
      </c>
      <c r="C56" s="43">
        <v>4500</v>
      </c>
      <c r="D56" s="68">
        <f>C56</f>
        <v>4500</v>
      </c>
    </row>
    <row r="57" spans="1:5" x14ac:dyDescent="0.25">
      <c r="A57" s="99" t="s">
        <v>82</v>
      </c>
      <c r="B57" s="101" t="s">
        <v>81</v>
      </c>
      <c r="C57" s="43">
        <v>8000</v>
      </c>
      <c r="D57" s="66">
        <f>C57</f>
        <v>8000</v>
      </c>
    </row>
    <row r="58" spans="1:5" x14ac:dyDescent="0.25">
      <c r="A58" s="18"/>
      <c r="B58" s="42"/>
      <c r="C58" s="43"/>
      <c r="D58" s="68">
        <v>0</v>
      </c>
    </row>
    <row r="59" spans="1:5" x14ac:dyDescent="0.25">
      <c r="A59" s="5"/>
      <c r="B59" s="2"/>
      <c r="C59" s="52" t="s">
        <v>26</v>
      </c>
      <c r="D59" s="65">
        <f>SUM(D55:D58)</f>
        <v>15860</v>
      </c>
    </row>
    <row r="60" spans="1:5" x14ac:dyDescent="0.25">
      <c r="A60" s="6" t="s">
        <v>27</v>
      </c>
      <c r="B60" s="2"/>
      <c r="C60" s="2"/>
      <c r="D60" s="2"/>
    </row>
    <row r="61" spans="1:5" ht="25.5" x14ac:dyDescent="0.25">
      <c r="A61" s="33" t="s">
        <v>18</v>
      </c>
      <c r="B61" s="33" t="s">
        <v>28</v>
      </c>
      <c r="C61" s="33" t="s">
        <v>29</v>
      </c>
      <c r="D61" s="80" t="s">
        <v>21</v>
      </c>
    </row>
    <row r="62" spans="1:5" x14ac:dyDescent="0.25">
      <c r="A62" s="10" t="s">
        <v>30</v>
      </c>
      <c r="B62" s="188">
        <v>44</v>
      </c>
      <c r="C62" s="43">
        <v>450</v>
      </c>
      <c r="D62" s="70">
        <f>C62*B62+(750*2)</f>
        <v>21300</v>
      </c>
      <c r="E62" s="218"/>
    </row>
    <row r="63" spans="1:5" x14ac:dyDescent="0.25">
      <c r="A63" s="10" t="s">
        <v>88</v>
      </c>
      <c r="B63" s="188">
        <v>44</v>
      </c>
      <c r="C63" s="43">
        <v>200</v>
      </c>
      <c r="D63" s="70">
        <f t="shared" ref="D63:D67" si="2">C63*B63</f>
        <v>8800</v>
      </c>
      <c r="E63" s="218"/>
    </row>
    <row r="64" spans="1:5" x14ac:dyDescent="0.25">
      <c r="A64" s="10" t="s">
        <v>89</v>
      </c>
      <c r="B64" s="188">
        <v>44</v>
      </c>
      <c r="C64" s="43">
        <f>40.1*1.2</f>
        <v>48.12</v>
      </c>
      <c r="D64" s="70">
        <f t="shared" si="2"/>
        <v>2117.2799999999997</v>
      </c>
      <c r="E64" s="218"/>
    </row>
    <row r="65" spans="1:5" x14ac:dyDescent="0.25">
      <c r="A65" s="105" t="s">
        <v>96</v>
      </c>
      <c r="B65" s="188" t="s">
        <v>81</v>
      </c>
      <c r="C65" s="43">
        <f>(44*2*100)</f>
        <v>8800</v>
      </c>
      <c r="D65" s="70">
        <f t="shared" ref="D65" si="3">C65</f>
        <v>8800</v>
      </c>
      <c r="E65" s="218"/>
    </row>
    <row r="66" spans="1:5" x14ac:dyDescent="0.25">
      <c r="A66" s="105" t="s">
        <v>97</v>
      </c>
      <c r="B66" s="188" t="s">
        <v>133</v>
      </c>
      <c r="C66" s="186">
        <f>(0.5*44*470)+(0.5*44*235)</f>
        <v>15510</v>
      </c>
      <c r="D66" s="189">
        <f>C66</f>
        <v>15510</v>
      </c>
      <c r="E66" s="218"/>
    </row>
    <row r="67" spans="1:5" x14ac:dyDescent="0.25">
      <c r="A67" s="10" t="s">
        <v>90</v>
      </c>
      <c r="B67" s="188">
        <v>44</v>
      </c>
      <c r="C67" s="43">
        <v>485.23</v>
      </c>
      <c r="D67" s="70">
        <f t="shared" si="2"/>
        <v>21350.120000000003</v>
      </c>
      <c r="E67" s="218"/>
    </row>
    <row r="68" spans="1:5" x14ac:dyDescent="0.25">
      <c r="A68" s="10" t="s">
        <v>91</v>
      </c>
      <c r="B68" s="188" t="s">
        <v>81</v>
      </c>
      <c r="C68" s="43">
        <f>44*1.5*20*4</f>
        <v>5280</v>
      </c>
      <c r="D68" s="70">
        <f t="shared" ref="D68" si="4">C68</f>
        <v>5280</v>
      </c>
      <c r="E68" s="218"/>
    </row>
    <row r="69" spans="1:5" x14ac:dyDescent="0.25">
      <c r="A69" s="175" t="s">
        <v>156</v>
      </c>
      <c r="B69" s="188" t="s">
        <v>81</v>
      </c>
      <c r="C69" s="216">
        <v>6557.4</v>
      </c>
      <c r="D69" s="217">
        <f>C69</f>
        <v>6557.4</v>
      </c>
      <c r="E69" s="218"/>
    </row>
    <row r="70" spans="1:5" x14ac:dyDescent="0.25">
      <c r="A70" s="175" t="s">
        <v>158</v>
      </c>
      <c r="B70" s="188" t="s">
        <v>81</v>
      </c>
      <c r="C70" s="216">
        <v>19200</v>
      </c>
      <c r="D70" s="217">
        <f>C70</f>
        <v>19200</v>
      </c>
      <c r="E70" s="218"/>
    </row>
    <row r="71" spans="1:5" x14ac:dyDescent="0.25">
      <c r="A71" s="175" t="s">
        <v>157</v>
      </c>
      <c r="B71" s="188" t="s">
        <v>81</v>
      </c>
      <c r="C71" s="186">
        <v>9600</v>
      </c>
      <c r="D71" s="189">
        <f>C71</f>
        <v>9600</v>
      </c>
      <c r="E71" s="218"/>
    </row>
    <row r="72" spans="1:5" x14ac:dyDescent="0.25">
      <c r="A72" s="175" t="s">
        <v>153</v>
      </c>
      <c r="B72" s="188" t="s">
        <v>81</v>
      </c>
      <c r="C72" s="43">
        <v>4416.5192399999996</v>
      </c>
      <c r="D72" s="70">
        <f>C72</f>
        <v>4416.5192399999996</v>
      </c>
      <c r="E72" s="218"/>
    </row>
    <row r="73" spans="1:5" x14ac:dyDescent="0.25">
      <c r="A73" s="1"/>
      <c r="B73" s="55" t="s">
        <v>31</v>
      </c>
      <c r="C73" s="56"/>
      <c r="D73" s="219">
        <f>SUM(D62:D72)</f>
        <v>122931.31923999998</v>
      </c>
      <c r="E73" s="220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92" t="s">
        <v>32</v>
      </c>
      <c r="C75" s="93"/>
      <c r="D75" s="94"/>
      <c r="E75" s="95">
        <f>E32+D52+D59+D73</f>
        <v>739603.26850938902</v>
      </c>
    </row>
    <row r="76" spans="1:5" x14ac:dyDescent="0.25">
      <c r="A76" s="53" t="s">
        <v>33</v>
      </c>
      <c r="B76" s="54"/>
      <c r="C76" s="54"/>
      <c r="D76" s="54"/>
      <c r="E76" s="54"/>
    </row>
    <row r="77" spans="1:5" x14ac:dyDescent="0.25">
      <c r="A77" s="2"/>
      <c r="B77" s="2"/>
      <c r="C77" s="2"/>
      <c r="D77" s="2"/>
      <c r="E77" s="2"/>
    </row>
    <row r="78" spans="1:5" ht="38.25" x14ac:dyDescent="0.25">
      <c r="A78" s="48" t="s">
        <v>18</v>
      </c>
      <c r="B78" s="48" t="s">
        <v>34</v>
      </c>
      <c r="C78" s="48" t="s">
        <v>35</v>
      </c>
      <c r="D78" s="80" t="s">
        <v>21</v>
      </c>
      <c r="E78" s="2"/>
    </row>
    <row r="79" spans="1:5" x14ac:dyDescent="0.25">
      <c r="A79" s="10" t="s">
        <v>92</v>
      </c>
      <c r="B79" s="46">
        <v>0.08</v>
      </c>
      <c r="C79" s="69">
        <f>B79*E75</f>
        <v>59168.26148075112</v>
      </c>
      <c r="D79" s="69">
        <f>C79</f>
        <v>59168.26148075112</v>
      </c>
      <c r="E79" s="2"/>
    </row>
    <row r="80" spans="1:5" x14ac:dyDescent="0.25">
      <c r="A80" s="10" t="s">
        <v>93</v>
      </c>
      <c r="B80" s="39">
        <v>0.01</v>
      </c>
      <c r="C80" s="71">
        <f>B80*E75</f>
        <v>7396.03268509389</v>
      </c>
      <c r="D80" s="71">
        <f>C80</f>
        <v>7396.03268509389</v>
      </c>
      <c r="E80" s="2"/>
    </row>
    <row r="81" spans="1:5" x14ac:dyDescent="0.25">
      <c r="A81" s="83" t="s">
        <v>94</v>
      </c>
      <c r="B81" s="47">
        <v>0.08</v>
      </c>
      <c r="C81" s="72">
        <f>B81*E75</f>
        <v>59168.26148075112</v>
      </c>
      <c r="D81" s="71">
        <f>C81</f>
        <v>59168.26148075112</v>
      </c>
      <c r="E81" s="2"/>
    </row>
    <row r="82" spans="1:5" x14ac:dyDescent="0.25">
      <c r="A82" s="84"/>
      <c r="B82" s="40"/>
      <c r="C82" s="73">
        <v>0</v>
      </c>
      <c r="D82" s="73">
        <v>0</v>
      </c>
      <c r="E82" s="2"/>
    </row>
    <row r="83" spans="1:5" x14ac:dyDescent="0.25">
      <c r="A83" s="14"/>
      <c r="B83" s="14"/>
      <c r="C83" s="57" t="s">
        <v>36</v>
      </c>
      <c r="D83" s="65">
        <f>SUM(D79:D82)</f>
        <v>125732.55564659613</v>
      </c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53" t="s">
        <v>37</v>
      </c>
      <c r="B85" s="54"/>
      <c r="C85" s="54"/>
      <c r="D85" s="54"/>
      <c r="E85" s="54"/>
    </row>
    <row r="86" spans="1:5" x14ac:dyDescent="0.25">
      <c r="A86" s="2"/>
      <c r="B86" s="2"/>
      <c r="C86" s="2"/>
      <c r="D86" s="2"/>
      <c r="E86" s="2"/>
    </row>
    <row r="87" spans="1:5" ht="25.5" x14ac:dyDescent="0.25">
      <c r="A87" s="48" t="s">
        <v>18</v>
      </c>
      <c r="B87" s="48" t="s">
        <v>38</v>
      </c>
      <c r="C87" s="48" t="s">
        <v>35</v>
      </c>
      <c r="D87" s="80" t="s">
        <v>21</v>
      </c>
      <c r="E87" s="2"/>
    </row>
    <row r="88" spans="1:5" x14ac:dyDescent="0.25">
      <c r="A88" s="193" t="s">
        <v>95</v>
      </c>
      <c r="B88" s="46">
        <v>7.6799999999999993E-2</v>
      </c>
      <c r="C88" s="69">
        <f>B88*E75</f>
        <v>56801.53102152107</v>
      </c>
      <c r="D88" s="69">
        <f>C88</f>
        <v>56801.53102152107</v>
      </c>
      <c r="E88" s="2"/>
    </row>
    <row r="89" spans="1:5" x14ac:dyDescent="0.25">
      <c r="A89" s="10"/>
      <c r="B89" s="39"/>
      <c r="C89" s="71">
        <v>0</v>
      </c>
      <c r="D89" s="71">
        <v>0</v>
      </c>
      <c r="E89" s="2"/>
    </row>
    <row r="90" spans="1:5" x14ac:dyDescent="0.25">
      <c r="A90" s="85"/>
      <c r="B90" s="50"/>
      <c r="C90" s="74">
        <v>0</v>
      </c>
      <c r="D90" s="74">
        <v>0</v>
      </c>
      <c r="E90" s="2"/>
    </row>
    <row r="91" spans="1:5" x14ac:dyDescent="0.25">
      <c r="A91" s="14"/>
      <c r="B91" s="55" t="s">
        <v>39</v>
      </c>
      <c r="C91" s="56"/>
      <c r="D91" s="65">
        <f>SUM(D88:D90)</f>
        <v>56801.53102152107</v>
      </c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53" t="s">
        <v>40</v>
      </c>
      <c r="B93" s="54"/>
      <c r="C93" s="54"/>
      <c r="D93" s="54"/>
      <c r="E93" s="54"/>
    </row>
    <row r="94" spans="1:5" x14ac:dyDescent="0.25">
      <c r="A94" s="2"/>
      <c r="B94" s="2"/>
      <c r="C94" s="2"/>
      <c r="D94" s="2"/>
      <c r="E94" s="2"/>
    </row>
    <row r="95" spans="1:5" x14ac:dyDescent="0.25">
      <c r="A95" s="11" t="s">
        <v>41</v>
      </c>
      <c r="B95" s="12"/>
      <c r="C95" s="12"/>
      <c r="D95" s="13"/>
      <c r="E95" s="75">
        <f>E75+D83+D91</f>
        <v>922137.35517750622</v>
      </c>
    </row>
    <row r="96" spans="1:5" x14ac:dyDescent="0.25">
      <c r="A96" s="2"/>
      <c r="B96" s="2"/>
      <c r="C96" s="2"/>
      <c r="D96" s="2"/>
      <c r="E96" s="2"/>
    </row>
    <row r="97" spans="1:6" x14ac:dyDescent="0.25">
      <c r="A97" s="53" t="s">
        <v>42</v>
      </c>
      <c r="B97" s="54"/>
      <c r="C97" s="54"/>
      <c r="D97" s="54"/>
      <c r="E97" s="82"/>
    </row>
    <row r="98" spans="1:6" x14ac:dyDescent="0.25">
      <c r="A98" s="2"/>
      <c r="B98" s="2"/>
      <c r="C98" s="2"/>
      <c r="D98" s="2"/>
      <c r="E98" s="2"/>
    </row>
    <row r="99" spans="1:6" x14ac:dyDescent="0.25">
      <c r="A99" s="48" t="s">
        <v>18</v>
      </c>
      <c r="B99" s="48" t="s">
        <v>38</v>
      </c>
      <c r="C99" s="2"/>
      <c r="D99" s="2"/>
      <c r="E99" s="2"/>
    </row>
    <row r="100" spans="1:6" x14ac:dyDescent="0.25">
      <c r="A100" s="17" t="s">
        <v>43</v>
      </c>
      <c r="B100" s="46">
        <v>0.05</v>
      </c>
      <c r="C100" s="2"/>
      <c r="D100" s="2"/>
      <c r="E100" s="2"/>
    </row>
    <row r="101" spans="1:6" x14ac:dyDescent="0.25">
      <c r="A101" s="18" t="s">
        <v>44</v>
      </c>
      <c r="B101" s="39">
        <v>6.4999999999999997E-3</v>
      </c>
      <c r="C101" s="2"/>
      <c r="D101" s="2"/>
      <c r="E101" s="190"/>
    </row>
    <row r="102" spans="1:6" x14ac:dyDescent="0.25">
      <c r="A102" s="4" t="s">
        <v>45</v>
      </c>
      <c r="B102" s="50">
        <v>0.03</v>
      </c>
      <c r="C102" s="2"/>
      <c r="D102" s="2"/>
      <c r="E102" s="2"/>
    </row>
    <row r="103" spans="1:6" x14ac:dyDescent="0.25">
      <c r="A103" s="2"/>
      <c r="B103" s="15"/>
      <c r="C103" s="2"/>
      <c r="D103" s="2"/>
      <c r="E103" s="2"/>
    </row>
    <row r="104" spans="1:6" ht="27.75" customHeight="1" x14ac:dyDescent="0.25">
      <c r="A104" s="16" t="s">
        <v>46</v>
      </c>
      <c r="B104" s="76">
        <f>SUM(B100:B102)</f>
        <v>8.6499999999999994E-2</v>
      </c>
      <c r="C104" s="2"/>
      <c r="D104" s="2"/>
      <c r="E104" s="191"/>
    </row>
    <row r="105" spans="1:6" x14ac:dyDescent="0.25">
      <c r="A105" s="2"/>
      <c r="B105" s="2"/>
      <c r="C105" s="2"/>
      <c r="D105" s="2"/>
      <c r="E105" s="2"/>
    </row>
    <row r="106" spans="1:6" x14ac:dyDescent="0.25">
      <c r="A106" s="53" t="s">
        <v>151</v>
      </c>
      <c r="B106" s="54"/>
      <c r="C106" s="54"/>
      <c r="D106" s="54"/>
      <c r="E106" s="192">
        <f>E95*1.0865</f>
        <v>1001902.2364003605</v>
      </c>
    </row>
    <row r="107" spans="1:6" x14ac:dyDescent="0.25">
      <c r="A107" s="3"/>
      <c r="B107" s="2"/>
      <c r="C107" s="2"/>
      <c r="D107" s="2"/>
      <c r="E107" s="2"/>
    </row>
    <row r="108" spans="1:6" x14ac:dyDescent="0.25">
      <c r="A108" s="53" t="s">
        <v>149</v>
      </c>
      <c r="B108" s="54"/>
      <c r="C108" s="54"/>
      <c r="D108" s="54"/>
      <c r="E108" s="54"/>
    </row>
    <row r="109" spans="1:6" x14ac:dyDescent="0.25">
      <c r="A109" s="196"/>
      <c r="B109" s="197"/>
      <c r="C109" s="197"/>
      <c r="D109" s="197"/>
      <c r="E109" s="197"/>
      <c r="F109" s="198"/>
    </row>
    <row r="110" spans="1:6" ht="25.5" x14ac:dyDescent="0.25">
      <c r="A110" s="48" t="s">
        <v>18</v>
      </c>
      <c r="B110" s="48" t="s">
        <v>28</v>
      </c>
      <c r="C110" s="48" t="s">
        <v>29</v>
      </c>
      <c r="D110" s="80" t="s">
        <v>21</v>
      </c>
      <c r="E110" s="199"/>
    </row>
    <row r="111" spans="1:6" ht="15.75" x14ac:dyDescent="0.25">
      <c r="A111" s="200" t="s">
        <v>159</v>
      </c>
      <c r="B111" s="188" t="s">
        <v>81</v>
      </c>
      <c r="C111" s="186"/>
      <c r="D111" s="201">
        <f>C111</f>
        <v>0</v>
      </c>
      <c r="E111" s="199"/>
    </row>
    <row r="112" spans="1:6" ht="15.75" x14ac:dyDescent="0.25">
      <c r="A112" s="175"/>
      <c r="B112" s="188"/>
      <c r="C112" s="186"/>
      <c r="D112" s="189"/>
      <c r="E112" s="199"/>
    </row>
    <row r="113" spans="1:5" ht="15.75" x14ac:dyDescent="0.25">
      <c r="A113" s="175"/>
      <c r="B113" s="188"/>
      <c r="C113" s="186"/>
      <c r="D113" s="189"/>
      <c r="E113" s="199"/>
    </row>
    <row r="114" spans="1:5" x14ac:dyDescent="0.25">
      <c r="B114" s="202"/>
      <c r="C114" s="202"/>
      <c r="D114" s="203">
        <f>SUM(D111:D113)</f>
        <v>0</v>
      </c>
      <c r="E114" s="202"/>
    </row>
    <row r="115" spans="1:5" x14ac:dyDescent="0.25">
      <c r="A115" s="53" t="s">
        <v>160</v>
      </c>
      <c r="B115" s="54"/>
      <c r="C115" s="54"/>
      <c r="D115" s="54"/>
      <c r="E115" s="54"/>
    </row>
    <row r="116" spans="1:5" x14ac:dyDescent="0.25">
      <c r="A116" s="202"/>
      <c r="B116" s="202"/>
      <c r="C116" s="202"/>
      <c r="D116" s="202"/>
      <c r="E116" s="202"/>
    </row>
    <row r="117" spans="1:5" ht="38.25" x14ac:dyDescent="0.25">
      <c r="A117" s="48" t="s">
        <v>18</v>
      </c>
      <c r="B117" s="48" t="s">
        <v>34</v>
      </c>
      <c r="C117" s="48" t="s">
        <v>35</v>
      </c>
      <c r="D117" s="80" t="s">
        <v>21</v>
      </c>
      <c r="E117" s="202"/>
    </row>
    <row r="118" spans="1:5" x14ac:dyDescent="0.25">
      <c r="A118" s="105" t="s">
        <v>92</v>
      </c>
      <c r="B118" s="205">
        <v>0.08</v>
      </c>
      <c r="C118" s="221">
        <f>B118*D114</f>
        <v>0</v>
      </c>
      <c r="D118" s="221">
        <f>C118</f>
        <v>0</v>
      </c>
      <c r="E118" s="202"/>
    </row>
    <row r="119" spans="1:5" x14ac:dyDescent="0.25">
      <c r="A119" s="105" t="s">
        <v>93</v>
      </c>
      <c r="B119" s="206">
        <v>0.01</v>
      </c>
      <c r="C119" s="201">
        <f>B119*D114</f>
        <v>0</v>
      </c>
      <c r="D119" s="201">
        <f>C119</f>
        <v>0</v>
      </c>
      <c r="E119" s="202"/>
    </row>
    <row r="120" spans="1:5" x14ac:dyDescent="0.25">
      <c r="A120" s="222"/>
      <c r="B120" s="208"/>
      <c r="C120" s="223">
        <v>0</v>
      </c>
      <c r="D120" s="223">
        <v>0</v>
      </c>
      <c r="E120" s="202"/>
    </row>
    <row r="121" spans="1:5" x14ac:dyDescent="0.25">
      <c r="A121" s="14"/>
      <c r="B121" s="14"/>
      <c r="C121" s="57" t="s">
        <v>36</v>
      </c>
      <c r="D121" s="65">
        <f>SUM(D118:D120)</f>
        <v>0</v>
      </c>
      <c r="E121" s="202"/>
    </row>
    <row r="122" spans="1:5" x14ac:dyDescent="0.25">
      <c r="A122" s="202"/>
      <c r="B122" s="202"/>
      <c r="C122" s="202"/>
      <c r="D122" s="202"/>
      <c r="E122" s="202"/>
    </row>
    <row r="123" spans="1:5" x14ac:dyDescent="0.25">
      <c r="A123" s="53" t="s">
        <v>161</v>
      </c>
      <c r="B123" s="54"/>
      <c r="C123" s="54"/>
      <c r="D123" s="54"/>
      <c r="E123" s="54"/>
    </row>
    <row r="124" spans="1:5" x14ac:dyDescent="0.25">
      <c r="A124" s="202"/>
      <c r="B124" s="202"/>
      <c r="C124" s="202"/>
      <c r="D124" s="202"/>
      <c r="E124" s="202"/>
    </row>
    <row r="125" spans="1:5" ht="25.5" x14ac:dyDescent="0.25">
      <c r="A125" s="48" t="s">
        <v>18</v>
      </c>
      <c r="B125" s="48" t="s">
        <v>38</v>
      </c>
      <c r="C125" s="48" t="s">
        <v>35</v>
      </c>
      <c r="D125" s="80" t="s">
        <v>21</v>
      </c>
      <c r="E125" s="202"/>
    </row>
    <row r="126" spans="1:5" x14ac:dyDescent="0.25">
      <c r="A126" s="193" t="s">
        <v>95</v>
      </c>
      <c r="B126" s="205">
        <v>7.6799999999999993E-2</v>
      </c>
      <c r="C126" s="221">
        <f>B126*(D114+D121)</f>
        <v>0</v>
      </c>
      <c r="D126" s="221">
        <f>C126</f>
        <v>0</v>
      </c>
      <c r="E126" s="202"/>
    </row>
    <row r="127" spans="1:5" x14ac:dyDescent="0.25">
      <c r="A127" s="105"/>
      <c r="B127" s="206"/>
      <c r="C127" s="201">
        <v>0</v>
      </c>
      <c r="D127" s="201">
        <v>0</v>
      </c>
      <c r="E127" s="202"/>
    </row>
    <row r="128" spans="1:5" x14ac:dyDescent="0.25">
      <c r="A128" s="224"/>
      <c r="B128" s="225"/>
      <c r="C128" s="226">
        <v>0</v>
      </c>
      <c r="D128" s="226">
        <v>0</v>
      </c>
      <c r="E128" s="202"/>
    </row>
    <row r="129" spans="1:6" x14ac:dyDescent="0.25">
      <c r="A129" s="14"/>
      <c r="B129" s="55" t="s">
        <v>39</v>
      </c>
      <c r="C129" s="227"/>
      <c r="D129" s="65">
        <f>SUM(D126:D128)</f>
        <v>0</v>
      </c>
      <c r="E129" s="202"/>
    </row>
    <row r="130" spans="1:6" x14ac:dyDescent="0.25">
      <c r="A130" s="202"/>
      <c r="B130" s="202"/>
      <c r="C130" s="202"/>
      <c r="D130" s="202"/>
      <c r="E130" s="202"/>
    </row>
    <row r="131" spans="1:6" x14ac:dyDescent="0.25">
      <c r="A131" s="53" t="s">
        <v>162</v>
      </c>
      <c r="B131" s="54"/>
      <c r="C131" s="54"/>
      <c r="D131" s="54"/>
      <c r="E131" s="82"/>
    </row>
    <row r="132" spans="1:6" x14ac:dyDescent="0.25">
      <c r="A132" s="202"/>
      <c r="B132" s="202"/>
      <c r="C132" s="202"/>
      <c r="D132" s="202"/>
      <c r="E132" s="202"/>
    </row>
    <row r="133" spans="1:6" x14ac:dyDescent="0.25">
      <c r="A133" s="48" t="s">
        <v>18</v>
      </c>
      <c r="B133" s="48" t="s">
        <v>38</v>
      </c>
      <c r="C133" s="202"/>
      <c r="D133" s="202"/>
      <c r="E133" s="202"/>
    </row>
    <row r="134" spans="1:6" x14ac:dyDescent="0.25">
      <c r="A134" s="204" t="s">
        <v>43</v>
      </c>
      <c r="B134" s="205">
        <v>0.05</v>
      </c>
      <c r="C134" s="202"/>
      <c r="D134" s="202"/>
      <c r="E134" s="202"/>
    </row>
    <row r="135" spans="1:6" x14ac:dyDescent="0.25">
      <c r="A135" s="99" t="s">
        <v>44</v>
      </c>
      <c r="B135" s="206">
        <v>6.4999999999999997E-3</v>
      </c>
      <c r="C135" s="202"/>
      <c r="D135" s="202"/>
      <c r="E135" s="207"/>
    </row>
    <row r="136" spans="1:6" x14ac:dyDescent="0.25">
      <c r="A136" s="228" t="s">
        <v>45</v>
      </c>
      <c r="B136" s="225">
        <v>0.03</v>
      </c>
      <c r="C136" s="202"/>
      <c r="D136" s="202"/>
      <c r="E136" s="202"/>
    </row>
    <row r="137" spans="1:6" x14ac:dyDescent="0.25">
      <c r="A137" s="202"/>
      <c r="B137" s="209"/>
      <c r="C137" s="202"/>
      <c r="D137" s="202"/>
      <c r="E137" s="202"/>
    </row>
    <row r="138" spans="1:6" ht="27.75" customHeight="1" x14ac:dyDescent="0.25">
      <c r="A138" s="16" t="s">
        <v>46</v>
      </c>
      <c r="B138" s="76">
        <f>SUM(B134:B136)</f>
        <v>8.6499999999999994E-2</v>
      </c>
      <c r="C138" s="202"/>
      <c r="D138" s="202"/>
      <c r="E138" s="210"/>
    </row>
    <row r="139" spans="1:6" x14ac:dyDescent="0.25">
      <c r="A139" s="202"/>
      <c r="B139" s="202"/>
      <c r="C139" s="202"/>
      <c r="D139" s="202"/>
      <c r="E139" s="202"/>
    </row>
    <row r="140" spans="1:6" x14ac:dyDescent="0.25">
      <c r="A140" s="53" t="s">
        <v>163</v>
      </c>
      <c r="B140" s="54"/>
      <c r="C140" s="54"/>
      <c r="D140" s="54"/>
      <c r="E140" s="192">
        <f>(D114+D121+D129)*1.0865</f>
        <v>0</v>
      </c>
    </row>
    <row r="141" spans="1:6" x14ac:dyDescent="0.25">
      <c r="A141" s="91"/>
      <c r="B141" s="202"/>
      <c r="C141" s="202"/>
      <c r="D141" s="202"/>
      <c r="E141" s="202"/>
    </row>
    <row r="142" spans="1:6" x14ac:dyDescent="0.25">
      <c r="A142" s="53" t="s">
        <v>164</v>
      </c>
      <c r="B142" s="54"/>
      <c r="C142" s="54"/>
      <c r="D142" s="54"/>
      <c r="E142" s="54"/>
    </row>
    <row r="143" spans="1:6" x14ac:dyDescent="0.25">
      <c r="A143" s="196"/>
      <c r="B143" s="197"/>
      <c r="C143" s="197"/>
      <c r="D143" s="197"/>
      <c r="E143" s="197"/>
      <c r="F143" s="198"/>
    </row>
    <row r="144" spans="1:6" ht="25.5" x14ac:dyDescent="0.25">
      <c r="A144" s="48" t="s">
        <v>18</v>
      </c>
      <c r="B144" s="48" t="s">
        <v>28</v>
      </c>
      <c r="C144" s="48" t="s">
        <v>29</v>
      </c>
      <c r="D144" s="80" t="s">
        <v>21</v>
      </c>
      <c r="E144" s="199"/>
    </row>
    <row r="145" spans="1:5" ht="15.75" x14ac:dyDescent="0.25">
      <c r="A145" s="200" t="s">
        <v>150</v>
      </c>
      <c r="B145" s="188" t="s">
        <v>81</v>
      </c>
      <c r="C145" s="186">
        <f>E25*40%</f>
        <v>98790.907950138193</v>
      </c>
      <c r="D145" s="201">
        <f>C145</f>
        <v>98790.907950138193</v>
      </c>
      <c r="E145" s="199"/>
    </row>
    <row r="146" spans="1:5" ht="15.75" x14ac:dyDescent="0.25">
      <c r="A146" s="175"/>
      <c r="B146" s="188"/>
      <c r="C146" s="186"/>
      <c r="D146" s="189"/>
      <c r="E146" s="199"/>
    </row>
    <row r="147" spans="1:5" ht="15.75" x14ac:dyDescent="0.25">
      <c r="A147" s="175"/>
      <c r="B147" s="188"/>
      <c r="C147" s="186"/>
      <c r="D147" s="189"/>
      <c r="E147" s="199"/>
    </row>
    <row r="148" spans="1:5" x14ac:dyDescent="0.25">
      <c r="B148" s="202"/>
      <c r="C148" s="202"/>
      <c r="D148" s="203">
        <f>SUM(D145:D147)</f>
        <v>98790.907950138193</v>
      </c>
      <c r="E148" s="202"/>
    </row>
    <row r="149" spans="1:5" x14ac:dyDescent="0.25">
      <c r="A149" s="202"/>
      <c r="B149" s="202"/>
      <c r="C149" s="202"/>
      <c r="D149" s="202"/>
      <c r="E149" s="202"/>
    </row>
    <row r="150" spans="1:5" x14ac:dyDescent="0.25">
      <c r="A150" s="53" t="s">
        <v>165</v>
      </c>
      <c r="B150" s="54"/>
      <c r="C150" s="54"/>
      <c r="D150" s="54"/>
      <c r="E150" s="54"/>
    </row>
    <row r="151" spans="1:5" x14ac:dyDescent="0.25">
      <c r="A151" s="202"/>
      <c r="B151" s="202"/>
      <c r="C151" s="202"/>
      <c r="D151" s="202"/>
      <c r="E151" s="202"/>
    </row>
    <row r="152" spans="1:5" ht="25.5" x14ac:dyDescent="0.25">
      <c r="A152" s="48" t="s">
        <v>18</v>
      </c>
      <c r="B152" s="48" t="s">
        <v>38</v>
      </c>
      <c r="C152" s="48" t="s">
        <v>35</v>
      </c>
      <c r="D152" s="80" t="s">
        <v>21</v>
      </c>
      <c r="E152" s="202"/>
    </row>
    <row r="153" spans="1:5" x14ac:dyDescent="0.25">
      <c r="A153" s="193" t="s">
        <v>95</v>
      </c>
      <c r="B153" s="205">
        <v>7.6799999999999993E-2</v>
      </c>
      <c r="C153" s="221">
        <f>B153*D148</f>
        <v>7587.1417305706127</v>
      </c>
      <c r="D153" s="221">
        <f>C153</f>
        <v>7587.1417305706127</v>
      </c>
      <c r="E153" s="202"/>
    </row>
    <row r="154" spans="1:5" x14ac:dyDescent="0.25">
      <c r="A154" s="105"/>
      <c r="B154" s="206"/>
      <c r="C154" s="201">
        <v>0</v>
      </c>
      <c r="D154" s="201">
        <v>0</v>
      </c>
      <c r="E154" s="202"/>
    </row>
    <row r="155" spans="1:5" x14ac:dyDescent="0.25">
      <c r="A155" s="224"/>
      <c r="B155" s="225"/>
      <c r="C155" s="226">
        <v>0</v>
      </c>
      <c r="D155" s="226">
        <v>0</v>
      </c>
      <c r="E155" s="202"/>
    </row>
    <row r="156" spans="1:5" x14ac:dyDescent="0.25">
      <c r="A156" s="14"/>
      <c r="B156" s="55" t="s">
        <v>39</v>
      </c>
      <c r="C156" s="227"/>
      <c r="D156" s="65">
        <f>SUM(D153:D155)</f>
        <v>7587.1417305706127</v>
      </c>
      <c r="E156" s="202"/>
    </row>
    <row r="157" spans="1:5" x14ac:dyDescent="0.25">
      <c r="A157" s="202"/>
      <c r="B157" s="202"/>
      <c r="C157" s="202"/>
      <c r="D157" s="202"/>
      <c r="E157" s="202"/>
    </row>
    <row r="158" spans="1:5" x14ac:dyDescent="0.25">
      <c r="A158" s="53" t="s">
        <v>166</v>
      </c>
      <c r="B158" s="54"/>
      <c r="C158" s="54"/>
      <c r="D158" s="54"/>
      <c r="E158" s="82"/>
    </row>
    <row r="159" spans="1:5" x14ac:dyDescent="0.25">
      <c r="A159" s="202"/>
      <c r="B159" s="202"/>
      <c r="C159" s="202"/>
      <c r="D159" s="202"/>
      <c r="E159" s="202"/>
    </row>
    <row r="160" spans="1:5" x14ac:dyDescent="0.25">
      <c r="A160" s="48" t="s">
        <v>18</v>
      </c>
      <c r="B160" s="48" t="s">
        <v>38</v>
      </c>
      <c r="C160" s="202"/>
      <c r="D160" s="202"/>
      <c r="E160" s="202"/>
    </row>
    <row r="161" spans="1:7" x14ac:dyDescent="0.25">
      <c r="A161" s="204" t="s">
        <v>43</v>
      </c>
      <c r="B161" s="205">
        <v>0.05</v>
      </c>
      <c r="C161" s="202"/>
      <c r="D161" s="202"/>
      <c r="E161" s="202"/>
    </row>
    <row r="162" spans="1:7" x14ac:dyDescent="0.25">
      <c r="A162" s="99" t="s">
        <v>44</v>
      </c>
      <c r="B162" s="206">
        <v>6.4999999999999997E-3</v>
      </c>
      <c r="C162" s="202"/>
      <c r="D162" s="202"/>
      <c r="E162" s="207"/>
    </row>
    <row r="163" spans="1:7" x14ac:dyDescent="0.25">
      <c r="A163" s="228" t="s">
        <v>45</v>
      </c>
      <c r="B163" s="225">
        <v>0.03</v>
      </c>
      <c r="C163" s="202"/>
      <c r="D163" s="202"/>
      <c r="E163" s="202"/>
    </row>
    <row r="164" spans="1:7" x14ac:dyDescent="0.25">
      <c r="A164" s="202"/>
      <c r="B164" s="209"/>
      <c r="C164" s="202"/>
      <c r="D164" s="202"/>
      <c r="E164" s="202"/>
    </row>
    <row r="165" spans="1:7" ht="27.75" customHeight="1" x14ac:dyDescent="0.25">
      <c r="A165" s="16" t="s">
        <v>46</v>
      </c>
      <c r="B165" s="76">
        <f>SUM(B161:B163)</f>
        <v>8.6499999999999994E-2</v>
      </c>
      <c r="C165" s="202"/>
      <c r="D165" s="202"/>
      <c r="E165" s="210"/>
    </row>
    <row r="166" spans="1:7" x14ac:dyDescent="0.25">
      <c r="A166" s="202"/>
      <c r="B166" s="202"/>
      <c r="C166" s="202"/>
      <c r="D166" s="202"/>
      <c r="E166" s="202"/>
    </row>
    <row r="167" spans="1:7" x14ac:dyDescent="0.25">
      <c r="A167" s="53" t="s">
        <v>167</v>
      </c>
      <c r="B167" s="54"/>
      <c r="C167" s="54"/>
      <c r="D167" s="54"/>
      <c r="E167" s="192">
        <f>(D148+D156)*1.0865</f>
        <v>115579.75097809012</v>
      </c>
    </row>
    <row r="168" spans="1:7" x14ac:dyDescent="0.25">
      <c r="A168" s="91"/>
      <c r="B168" s="202"/>
      <c r="C168" s="202"/>
      <c r="D168" s="202"/>
      <c r="E168" s="202"/>
    </row>
    <row r="169" spans="1:7" x14ac:dyDescent="0.25">
      <c r="A169" s="49" t="s">
        <v>64</v>
      </c>
      <c r="B169" s="211"/>
      <c r="C169" s="211"/>
      <c r="D169" s="212"/>
      <c r="E169" s="229">
        <f>E106+E140+E167</f>
        <v>1117481.9873784506</v>
      </c>
      <c r="G169" s="97"/>
    </row>
    <row r="170" spans="1:7" ht="15.75" x14ac:dyDescent="0.25">
      <c r="A170" s="49" t="s">
        <v>168</v>
      </c>
      <c r="B170" s="211"/>
      <c r="C170" s="211"/>
      <c r="D170" s="212"/>
      <c r="E170" s="77">
        <v>1092500</v>
      </c>
      <c r="G170" s="97"/>
    </row>
    <row r="171" spans="1:7" x14ac:dyDescent="0.25">
      <c r="A171" s="91" t="s">
        <v>47</v>
      </c>
      <c r="B171" s="2"/>
      <c r="C171" s="2"/>
      <c r="D171" s="2"/>
      <c r="E171" s="2"/>
    </row>
    <row r="172" spans="1:7" x14ac:dyDescent="0.25">
      <c r="A172" s="26" t="s">
        <v>48</v>
      </c>
      <c r="B172" s="1"/>
      <c r="C172" s="1"/>
      <c r="D172" s="1"/>
      <c r="E172" s="1"/>
    </row>
    <row r="173" spans="1:7" x14ac:dyDescent="0.25">
      <c r="A173" s="27" t="s">
        <v>49</v>
      </c>
      <c r="B173" s="2"/>
      <c r="C173" s="2"/>
      <c r="D173" s="2"/>
      <c r="E173" s="2"/>
    </row>
    <row r="174" spans="1:7" x14ac:dyDescent="0.25">
      <c r="A174" s="27" t="s">
        <v>50</v>
      </c>
      <c r="B174" s="2"/>
      <c r="C174" s="2"/>
      <c r="D174" s="2"/>
      <c r="E174" s="2"/>
    </row>
    <row r="175" spans="1:7" x14ac:dyDescent="0.25">
      <c r="A175" s="27" t="s">
        <v>51</v>
      </c>
    </row>
    <row r="176" spans="1:7" x14ac:dyDescent="0.25">
      <c r="A176" s="27" t="s">
        <v>52</v>
      </c>
    </row>
    <row r="177" spans="1:1" x14ac:dyDescent="0.25">
      <c r="A177" s="27" t="s">
        <v>53</v>
      </c>
    </row>
    <row r="178" spans="1:1" x14ac:dyDescent="0.25">
      <c r="A178" s="27" t="s">
        <v>54</v>
      </c>
    </row>
    <row r="179" spans="1:1" x14ac:dyDescent="0.25">
      <c r="A179" s="26" t="s">
        <v>55</v>
      </c>
    </row>
    <row r="180" spans="1:1" x14ac:dyDescent="0.25">
      <c r="A180" s="27" t="s">
        <v>56</v>
      </c>
    </row>
    <row r="181" spans="1:1" x14ac:dyDescent="0.25">
      <c r="A181" s="27" t="s">
        <v>57</v>
      </c>
    </row>
    <row r="182" spans="1:1" x14ac:dyDescent="0.25">
      <c r="A182" s="29">
        <v>2</v>
      </c>
    </row>
    <row r="183" spans="1:1" x14ac:dyDescent="0.25">
      <c r="A183" s="27" t="s">
        <v>58</v>
      </c>
    </row>
    <row r="184" spans="1:1" x14ac:dyDescent="0.25">
      <c r="A184" s="29">
        <v>3</v>
      </c>
    </row>
    <row r="185" spans="1:1" x14ac:dyDescent="0.25">
      <c r="A185" s="27" t="s">
        <v>59</v>
      </c>
    </row>
    <row r="186" spans="1:1" x14ac:dyDescent="0.25">
      <c r="A186" s="29">
        <v>5</v>
      </c>
    </row>
    <row r="187" spans="1:1" x14ac:dyDescent="0.25">
      <c r="A187" s="27" t="s">
        <v>60</v>
      </c>
    </row>
    <row r="188" spans="1:1" x14ac:dyDescent="0.25">
      <c r="A188" s="27"/>
    </row>
    <row r="189" spans="1:1" x14ac:dyDescent="0.25">
      <c r="A189" s="28" t="s">
        <v>61</v>
      </c>
    </row>
    <row r="190" spans="1:1" x14ac:dyDescent="0.25">
      <c r="A190" s="2"/>
    </row>
    <row r="191" spans="1:1" x14ac:dyDescent="0.25">
      <c r="A191" s="32" t="s">
        <v>62</v>
      </c>
    </row>
  </sheetData>
  <mergeCells count="1">
    <mergeCell ref="A2:E2"/>
  </mergeCells>
  <pageMargins left="0.51181102362204722" right="0.51181102362204722" top="0.78740157480314965" bottom="0.78740157480314965" header="0.31496062992125984" footer="0.31496062992125984"/>
  <pageSetup paperSize="9" scale="72" orientation="portrait" r:id="rId1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4" workbookViewId="0">
      <selection activeCell="I17" sqref="I17:I21"/>
    </sheetView>
  </sheetViews>
  <sheetFormatPr defaultColWidth="7.85546875" defaultRowHeight="15" x14ac:dyDescent="0.2"/>
  <cols>
    <col min="1" max="1" width="26.42578125" style="106" customWidth="1"/>
    <col min="2" max="2" width="12.28515625" style="106" customWidth="1"/>
    <col min="3" max="3" width="14.85546875" style="106" customWidth="1"/>
    <col min="4" max="4" width="14.42578125" style="106" customWidth="1"/>
    <col min="5" max="6" width="15.140625" style="106" customWidth="1"/>
    <col min="7" max="7" width="16.42578125" style="106" bestFit="1" customWidth="1"/>
    <col min="8" max="8" width="13.7109375" style="106" customWidth="1"/>
    <col min="9" max="9" width="16.28515625" style="106" customWidth="1"/>
    <col min="10" max="10" width="7.85546875" style="106"/>
    <col min="11" max="11" width="16.7109375" style="106" bestFit="1" customWidth="1"/>
    <col min="12" max="253" width="7.85546875" style="106"/>
    <col min="254" max="254" width="26.42578125" style="106" customWidth="1"/>
    <col min="255" max="255" width="12.28515625" style="106" customWidth="1"/>
    <col min="256" max="256" width="14.85546875" style="106" customWidth="1"/>
    <col min="257" max="257" width="14.42578125" style="106" customWidth="1"/>
    <col min="258" max="260" width="15.140625" style="106" customWidth="1"/>
    <col min="261" max="261" width="13.7109375" style="106" customWidth="1"/>
    <col min="262" max="262" width="16.28515625" style="106" customWidth="1"/>
    <col min="263" max="266" width="7.85546875" style="106"/>
    <col min="267" max="267" width="14.7109375" style="106" bestFit="1" customWidth="1"/>
    <col min="268" max="509" width="7.85546875" style="106"/>
    <col min="510" max="510" width="26.42578125" style="106" customWidth="1"/>
    <col min="511" max="511" width="12.28515625" style="106" customWidth="1"/>
    <col min="512" max="512" width="14.85546875" style="106" customWidth="1"/>
    <col min="513" max="513" width="14.42578125" style="106" customWidth="1"/>
    <col min="514" max="516" width="15.140625" style="106" customWidth="1"/>
    <col min="517" max="517" width="13.7109375" style="106" customWidth="1"/>
    <col min="518" max="518" width="16.28515625" style="106" customWidth="1"/>
    <col min="519" max="522" width="7.85546875" style="106"/>
    <col min="523" max="523" width="14.7109375" style="106" bestFit="1" customWidth="1"/>
    <col min="524" max="765" width="7.85546875" style="106"/>
    <col min="766" max="766" width="26.42578125" style="106" customWidth="1"/>
    <col min="767" max="767" width="12.28515625" style="106" customWidth="1"/>
    <col min="768" max="768" width="14.85546875" style="106" customWidth="1"/>
    <col min="769" max="769" width="14.42578125" style="106" customWidth="1"/>
    <col min="770" max="772" width="15.140625" style="106" customWidth="1"/>
    <col min="773" max="773" width="13.7109375" style="106" customWidth="1"/>
    <col min="774" max="774" width="16.28515625" style="106" customWidth="1"/>
    <col min="775" max="778" width="7.85546875" style="106"/>
    <col min="779" max="779" width="14.7109375" style="106" bestFit="1" customWidth="1"/>
    <col min="780" max="1021" width="7.85546875" style="106"/>
    <col min="1022" max="1022" width="26.42578125" style="106" customWidth="1"/>
    <col min="1023" max="1023" width="12.28515625" style="106" customWidth="1"/>
    <col min="1024" max="1024" width="14.85546875" style="106" customWidth="1"/>
    <col min="1025" max="1025" width="14.42578125" style="106" customWidth="1"/>
    <col min="1026" max="1028" width="15.140625" style="106" customWidth="1"/>
    <col min="1029" max="1029" width="13.7109375" style="106" customWidth="1"/>
    <col min="1030" max="1030" width="16.28515625" style="106" customWidth="1"/>
    <col min="1031" max="1034" width="7.85546875" style="106"/>
    <col min="1035" max="1035" width="14.7109375" style="106" bestFit="1" customWidth="1"/>
    <col min="1036" max="1277" width="7.85546875" style="106"/>
    <col min="1278" max="1278" width="26.42578125" style="106" customWidth="1"/>
    <col min="1279" max="1279" width="12.28515625" style="106" customWidth="1"/>
    <col min="1280" max="1280" width="14.85546875" style="106" customWidth="1"/>
    <col min="1281" max="1281" width="14.42578125" style="106" customWidth="1"/>
    <col min="1282" max="1284" width="15.140625" style="106" customWidth="1"/>
    <col min="1285" max="1285" width="13.7109375" style="106" customWidth="1"/>
    <col min="1286" max="1286" width="16.28515625" style="106" customWidth="1"/>
    <col min="1287" max="1290" width="7.85546875" style="106"/>
    <col min="1291" max="1291" width="14.7109375" style="106" bestFit="1" customWidth="1"/>
    <col min="1292" max="1533" width="7.85546875" style="106"/>
    <col min="1534" max="1534" width="26.42578125" style="106" customWidth="1"/>
    <col min="1535" max="1535" width="12.28515625" style="106" customWidth="1"/>
    <col min="1536" max="1536" width="14.85546875" style="106" customWidth="1"/>
    <col min="1537" max="1537" width="14.42578125" style="106" customWidth="1"/>
    <col min="1538" max="1540" width="15.140625" style="106" customWidth="1"/>
    <col min="1541" max="1541" width="13.7109375" style="106" customWidth="1"/>
    <col min="1542" max="1542" width="16.28515625" style="106" customWidth="1"/>
    <col min="1543" max="1546" width="7.85546875" style="106"/>
    <col min="1547" max="1547" width="14.7109375" style="106" bestFit="1" customWidth="1"/>
    <col min="1548" max="1789" width="7.85546875" style="106"/>
    <col min="1790" max="1790" width="26.42578125" style="106" customWidth="1"/>
    <col min="1791" max="1791" width="12.28515625" style="106" customWidth="1"/>
    <col min="1792" max="1792" width="14.85546875" style="106" customWidth="1"/>
    <col min="1793" max="1793" width="14.42578125" style="106" customWidth="1"/>
    <col min="1794" max="1796" width="15.140625" style="106" customWidth="1"/>
    <col min="1797" max="1797" width="13.7109375" style="106" customWidth="1"/>
    <col min="1798" max="1798" width="16.28515625" style="106" customWidth="1"/>
    <col min="1799" max="1802" width="7.85546875" style="106"/>
    <col min="1803" max="1803" width="14.7109375" style="106" bestFit="1" customWidth="1"/>
    <col min="1804" max="2045" width="7.85546875" style="106"/>
    <col min="2046" max="2046" width="26.42578125" style="106" customWidth="1"/>
    <col min="2047" max="2047" width="12.28515625" style="106" customWidth="1"/>
    <col min="2048" max="2048" width="14.85546875" style="106" customWidth="1"/>
    <col min="2049" max="2049" width="14.42578125" style="106" customWidth="1"/>
    <col min="2050" max="2052" width="15.140625" style="106" customWidth="1"/>
    <col min="2053" max="2053" width="13.7109375" style="106" customWidth="1"/>
    <col min="2054" max="2054" width="16.28515625" style="106" customWidth="1"/>
    <col min="2055" max="2058" width="7.85546875" style="106"/>
    <col min="2059" max="2059" width="14.7109375" style="106" bestFit="1" customWidth="1"/>
    <col min="2060" max="2301" width="7.85546875" style="106"/>
    <col min="2302" max="2302" width="26.42578125" style="106" customWidth="1"/>
    <col min="2303" max="2303" width="12.28515625" style="106" customWidth="1"/>
    <col min="2304" max="2304" width="14.85546875" style="106" customWidth="1"/>
    <col min="2305" max="2305" width="14.42578125" style="106" customWidth="1"/>
    <col min="2306" max="2308" width="15.140625" style="106" customWidth="1"/>
    <col min="2309" max="2309" width="13.7109375" style="106" customWidth="1"/>
    <col min="2310" max="2310" width="16.28515625" style="106" customWidth="1"/>
    <col min="2311" max="2314" width="7.85546875" style="106"/>
    <col min="2315" max="2315" width="14.7109375" style="106" bestFit="1" customWidth="1"/>
    <col min="2316" max="2557" width="7.85546875" style="106"/>
    <col min="2558" max="2558" width="26.42578125" style="106" customWidth="1"/>
    <col min="2559" max="2559" width="12.28515625" style="106" customWidth="1"/>
    <col min="2560" max="2560" width="14.85546875" style="106" customWidth="1"/>
    <col min="2561" max="2561" width="14.42578125" style="106" customWidth="1"/>
    <col min="2562" max="2564" width="15.140625" style="106" customWidth="1"/>
    <col min="2565" max="2565" width="13.7109375" style="106" customWidth="1"/>
    <col min="2566" max="2566" width="16.28515625" style="106" customWidth="1"/>
    <col min="2567" max="2570" width="7.85546875" style="106"/>
    <col min="2571" max="2571" width="14.7109375" style="106" bestFit="1" customWidth="1"/>
    <col min="2572" max="2813" width="7.85546875" style="106"/>
    <col min="2814" max="2814" width="26.42578125" style="106" customWidth="1"/>
    <col min="2815" max="2815" width="12.28515625" style="106" customWidth="1"/>
    <col min="2816" max="2816" width="14.85546875" style="106" customWidth="1"/>
    <col min="2817" max="2817" width="14.42578125" style="106" customWidth="1"/>
    <col min="2818" max="2820" width="15.140625" style="106" customWidth="1"/>
    <col min="2821" max="2821" width="13.7109375" style="106" customWidth="1"/>
    <col min="2822" max="2822" width="16.28515625" style="106" customWidth="1"/>
    <col min="2823" max="2826" width="7.85546875" style="106"/>
    <col min="2827" max="2827" width="14.7109375" style="106" bestFit="1" customWidth="1"/>
    <col min="2828" max="3069" width="7.85546875" style="106"/>
    <col min="3070" max="3070" width="26.42578125" style="106" customWidth="1"/>
    <col min="3071" max="3071" width="12.28515625" style="106" customWidth="1"/>
    <col min="3072" max="3072" width="14.85546875" style="106" customWidth="1"/>
    <col min="3073" max="3073" width="14.42578125" style="106" customWidth="1"/>
    <col min="3074" max="3076" width="15.140625" style="106" customWidth="1"/>
    <col min="3077" max="3077" width="13.7109375" style="106" customWidth="1"/>
    <col min="3078" max="3078" width="16.28515625" style="106" customWidth="1"/>
    <col min="3079" max="3082" width="7.85546875" style="106"/>
    <col min="3083" max="3083" width="14.7109375" style="106" bestFit="1" customWidth="1"/>
    <col min="3084" max="3325" width="7.85546875" style="106"/>
    <col min="3326" max="3326" width="26.42578125" style="106" customWidth="1"/>
    <col min="3327" max="3327" width="12.28515625" style="106" customWidth="1"/>
    <col min="3328" max="3328" width="14.85546875" style="106" customWidth="1"/>
    <col min="3329" max="3329" width="14.42578125" style="106" customWidth="1"/>
    <col min="3330" max="3332" width="15.140625" style="106" customWidth="1"/>
    <col min="3333" max="3333" width="13.7109375" style="106" customWidth="1"/>
    <col min="3334" max="3334" width="16.28515625" style="106" customWidth="1"/>
    <col min="3335" max="3338" width="7.85546875" style="106"/>
    <col min="3339" max="3339" width="14.7109375" style="106" bestFit="1" customWidth="1"/>
    <col min="3340" max="3581" width="7.85546875" style="106"/>
    <col min="3582" max="3582" width="26.42578125" style="106" customWidth="1"/>
    <col min="3583" max="3583" width="12.28515625" style="106" customWidth="1"/>
    <col min="3584" max="3584" width="14.85546875" style="106" customWidth="1"/>
    <col min="3585" max="3585" width="14.42578125" style="106" customWidth="1"/>
    <col min="3586" max="3588" width="15.140625" style="106" customWidth="1"/>
    <col min="3589" max="3589" width="13.7109375" style="106" customWidth="1"/>
    <col min="3590" max="3590" width="16.28515625" style="106" customWidth="1"/>
    <col min="3591" max="3594" width="7.85546875" style="106"/>
    <col min="3595" max="3595" width="14.7109375" style="106" bestFit="1" customWidth="1"/>
    <col min="3596" max="3837" width="7.85546875" style="106"/>
    <col min="3838" max="3838" width="26.42578125" style="106" customWidth="1"/>
    <col min="3839" max="3839" width="12.28515625" style="106" customWidth="1"/>
    <col min="3840" max="3840" width="14.85546875" style="106" customWidth="1"/>
    <col min="3841" max="3841" width="14.42578125" style="106" customWidth="1"/>
    <col min="3842" max="3844" width="15.140625" style="106" customWidth="1"/>
    <col min="3845" max="3845" width="13.7109375" style="106" customWidth="1"/>
    <col min="3846" max="3846" width="16.28515625" style="106" customWidth="1"/>
    <col min="3847" max="3850" width="7.85546875" style="106"/>
    <col min="3851" max="3851" width="14.7109375" style="106" bestFit="1" customWidth="1"/>
    <col min="3852" max="4093" width="7.85546875" style="106"/>
    <col min="4094" max="4094" width="26.42578125" style="106" customWidth="1"/>
    <col min="4095" max="4095" width="12.28515625" style="106" customWidth="1"/>
    <col min="4096" max="4096" width="14.85546875" style="106" customWidth="1"/>
    <col min="4097" max="4097" width="14.42578125" style="106" customWidth="1"/>
    <col min="4098" max="4100" width="15.140625" style="106" customWidth="1"/>
    <col min="4101" max="4101" width="13.7109375" style="106" customWidth="1"/>
    <col min="4102" max="4102" width="16.28515625" style="106" customWidth="1"/>
    <col min="4103" max="4106" width="7.85546875" style="106"/>
    <col min="4107" max="4107" width="14.7109375" style="106" bestFit="1" customWidth="1"/>
    <col min="4108" max="4349" width="7.85546875" style="106"/>
    <col min="4350" max="4350" width="26.42578125" style="106" customWidth="1"/>
    <col min="4351" max="4351" width="12.28515625" style="106" customWidth="1"/>
    <col min="4352" max="4352" width="14.85546875" style="106" customWidth="1"/>
    <col min="4353" max="4353" width="14.42578125" style="106" customWidth="1"/>
    <col min="4354" max="4356" width="15.140625" style="106" customWidth="1"/>
    <col min="4357" max="4357" width="13.7109375" style="106" customWidth="1"/>
    <col min="4358" max="4358" width="16.28515625" style="106" customWidth="1"/>
    <col min="4359" max="4362" width="7.85546875" style="106"/>
    <col min="4363" max="4363" width="14.7109375" style="106" bestFit="1" customWidth="1"/>
    <col min="4364" max="4605" width="7.85546875" style="106"/>
    <col min="4606" max="4606" width="26.42578125" style="106" customWidth="1"/>
    <col min="4607" max="4607" width="12.28515625" style="106" customWidth="1"/>
    <col min="4608" max="4608" width="14.85546875" style="106" customWidth="1"/>
    <col min="4609" max="4609" width="14.42578125" style="106" customWidth="1"/>
    <col min="4610" max="4612" width="15.140625" style="106" customWidth="1"/>
    <col min="4613" max="4613" width="13.7109375" style="106" customWidth="1"/>
    <col min="4614" max="4614" width="16.28515625" style="106" customWidth="1"/>
    <col min="4615" max="4618" width="7.85546875" style="106"/>
    <col min="4619" max="4619" width="14.7109375" style="106" bestFit="1" customWidth="1"/>
    <col min="4620" max="4861" width="7.85546875" style="106"/>
    <col min="4862" max="4862" width="26.42578125" style="106" customWidth="1"/>
    <col min="4863" max="4863" width="12.28515625" style="106" customWidth="1"/>
    <col min="4864" max="4864" width="14.85546875" style="106" customWidth="1"/>
    <col min="4865" max="4865" width="14.42578125" style="106" customWidth="1"/>
    <col min="4866" max="4868" width="15.140625" style="106" customWidth="1"/>
    <col min="4869" max="4869" width="13.7109375" style="106" customWidth="1"/>
    <col min="4870" max="4870" width="16.28515625" style="106" customWidth="1"/>
    <col min="4871" max="4874" width="7.85546875" style="106"/>
    <col min="4875" max="4875" width="14.7109375" style="106" bestFit="1" customWidth="1"/>
    <col min="4876" max="5117" width="7.85546875" style="106"/>
    <col min="5118" max="5118" width="26.42578125" style="106" customWidth="1"/>
    <col min="5119" max="5119" width="12.28515625" style="106" customWidth="1"/>
    <col min="5120" max="5120" width="14.85546875" style="106" customWidth="1"/>
    <col min="5121" max="5121" width="14.42578125" style="106" customWidth="1"/>
    <col min="5122" max="5124" width="15.140625" style="106" customWidth="1"/>
    <col min="5125" max="5125" width="13.7109375" style="106" customWidth="1"/>
    <col min="5126" max="5126" width="16.28515625" style="106" customWidth="1"/>
    <col min="5127" max="5130" width="7.85546875" style="106"/>
    <col min="5131" max="5131" width="14.7109375" style="106" bestFit="1" customWidth="1"/>
    <col min="5132" max="5373" width="7.85546875" style="106"/>
    <col min="5374" max="5374" width="26.42578125" style="106" customWidth="1"/>
    <col min="5375" max="5375" width="12.28515625" style="106" customWidth="1"/>
    <col min="5376" max="5376" width="14.85546875" style="106" customWidth="1"/>
    <col min="5377" max="5377" width="14.42578125" style="106" customWidth="1"/>
    <col min="5378" max="5380" width="15.140625" style="106" customWidth="1"/>
    <col min="5381" max="5381" width="13.7109375" style="106" customWidth="1"/>
    <col min="5382" max="5382" width="16.28515625" style="106" customWidth="1"/>
    <col min="5383" max="5386" width="7.85546875" style="106"/>
    <col min="5387" max="5387" width="14.7109375" style="106" bestFit="1" customWidth="1"/>
    <col min="5388" max="5629" width="7.85546875" style="106"/>
    <col min="5630" max="5630" width="26.42578125" style="106" customWidth="1"/>
    <col min="5631" max="5631" width="12.28515625" style="106" customWidth="1"/>
    <col min="5632" max="5632" width="14.85546875" style="106" customWidth="1"/>
    <col min="5633" max="5633" width="14.42578125" style="106" customWidth="1"/>
    <col min="5634" max="5636" width="15.140625" style="106" customWidth="1"/>
    <col min="5637" max="5637" width="13.7109375" style="106" customWidth="1"/>
    <col min="5638" max="5638" width="16.28515625" style="106" customWidth="1"/>
    <col min="5639" max="5642" width="7.85546875" style="106"/>
    <col min="5643" max="5643" width="14.7109375" style="106" bestFit="1" customWidth="1"/>
    <col min="5644" max="5885" width="7.85546875" style="106"/>
    <col min="5886" max="5886" width="26.42578125" style="106" customWidth="1"/>
    <col min="5887" max="5887" width="12.28515625" style="106" customWidth="1"/>
    <col min="5888" max="5888" width="14.85546875" style="106" customWidth="1"/>
    <col min="5889" max="5889" width="14.42578125" style="106" customWidth="1"/>
    <col min="5890" max="5892" width="15.140625" style="106" customWidth="1"/>
    <col min="5893" max="5893" width="13.7109375" style="106" customWidth="1"/>
    <col min="5894" max="5894" width="16.28515625" style="106" customWidth="1"/>
    <col min="5895" max="5898" width="7.85546875" style="106"/>
    <col min="5899" max="5899" width="14.7109375" style="106" bestFit="1" customWidth="1"/>
    <col min="5900" max="6141" width="7.85546875" style="106"/>
    <col min="6142" max="6142" width="26.42578125" style="106" customWidth="1"/>
    <col min="6143" max="6143" width="12.28515625" style="106" customWidth="1"/>
    <col min="6144" max="6144" width="14.85546875" style="106" customWidth="1"/>
    <col min="6145" max="6145" width="14.42578125" style="106" customWidth="1"/>
    <col min="6146" max="6148" width="15.140625" style="106" customWidth="1"/>
    <col min="6149" max="6149" width="13.7109375" style="106" customWidth="1"/>
    <col min="6150" max="6150" width="16.28515625" style="106" customWidth="1"/>
    <col min="6151" max="6154" width="7.85546875" style="106"/>
    <col min="6155" max="6155" width="14.7109375" style="106" bestFit="1" customWidth="1"/>
    <col min="6156" max="6397" width="7.85546875" style="106"/>
    <col min="6398" max="6398" width="26.42578125" style="106" customWidth="1"/>
    <col min="6399" max="6399" width="12.28515625" style="106" customWidth="1"/>
    <col min="6400" max="6400" width="14.85546875" style="106" customWidth="1"/>
    <col min="6401" max="6401" width="14.42578125" style="106" customWidth="1"/>
    <col min="6402" max="6404" width="15.140625" style="106" customWidth="1"/>
    <col min="6405" max="6405" width="13.7109375" style="106" customWidth="1"/>
    <col min="6406" max="6406" width="16.28515625" style="106" customWidth="1"/>
    <col min="6407" max="6410" width="7.85546875" style="106"/>
    <col min="6411" max="6411" width="14.7109375" style="106" bestFit="1" customWidth="1"/>
    <col min="6412" max="6653" width="7.85546875" style="106"/>
    <col min="6654" max="6654" width="26.42578125" style="106" customWidth="1"/>
    <col min="6655" max="6655" width="12.28515625" style="106" customWidth="1"/>
    <col min="6656" max="6656" width="14.85546875" style="106" customWidth="1"/>
    <col min="6657" max="6657" width="14.42578125" style="106" customWidth="1"/>
    <col min="6658" max="6660" width="15.140625" style="106" customWidth="1"/>
    <col min="6661" max="6661" width="13.7109375" style="106" customWidth="1"/>
    <col min="6662" max="6662" width="16.28515625" style="106" customWidth="1"/>
    <col min="6663" max="6666" width="7.85546875" style="106"/>
    <col min="6667" max="6667" width="14.7109375" style="106" bestFit="1" customWidth="1"/>
    <col min="6668" max="6909" width="7.85546875" style="106"/>
    <col min="6910" max="6910" width="26.42578125" style="106" customWidth="1"/>
    <col min="6911" max="6911" width="12.28515625" style="106" customWidth="1"/>
    <col min="6912" max="6912" width="14.85546875" style="106" customWidth="1"/>
    <col min="6913" max="6913" width="14.42578125" style="106" customWidth="1"/>
    <col min="6914" max="6916" width="15.140625" style="106" customWidth="1"/>
    <col min="6917" max="6917" width="13.7109375" style="106" customWidth="1"/>
    <col min="6918" max="6918" width="16.28515625" style="106" customWidth="1"/>
    <col min="6919" max="6922" width="7.85546875" style="106"/>
    <col min="6923" max="6923" width="14.7109375" style="106" bestFit="1" customWidth="1"/>
    <col min="6924" max="7165" width="7.85546875" style="106"/>
    <col min="7166" max="7166" width="26.42578125" style="106" customWidth="1"/>
    <col min="7167" max="7167" width="12.28515625" style="106" customWidth="1"/>
    <col min="7168" max="7168" width="14.85546875" style="106" customWidth="1"/>
    <col min="7169" max="7169" width="14.42578125" style="106" customWidth="1"/>
    <col min="7170" max="7172" width="15.140625" style="106" customWidth="1"/>
    <col min="7173" max="7173" width="13.7109375" style="106" customWidth="1"/>
    <col min="7174" max="7174" width="16.28515625" style="106" customWidth="1"/>
    <col min="7175" max="7178" width="7.85546875" style="106"/>
    <col min="7179" max="7179" width="14.7109375" style="106" bestFit="1" customWidth="1"/>
    <col min="7180" max="7421" width="7.85546875" style="106"/>
    <col min="7422" max="7422" width="26.42578125" style="106" customWidth="1"/>
    <col min="7423" max="7423" width="12.28515625" style="106" customWidth="1"/>
    <col min="7424" max="7424" width="14.85546875" style="106" customWidth="1"/>
    <col min="7425" max="7425" width="14.42578125" style="106" customWidth="1"/>
    <col min="7426" max="7428" width="15.140625" style="106" customWidth="1"/>
    <col min="7429" max="7429" width="13.7109375" style="106" customWidth="1"/>
    <col min="7430" max="7430" width="16.28515625" style="106" customWidth="1"/>
    <col min="7431" max="7434" width="7.85546875" style="106"/>
    <col min="7435" max="7435" width="14.7109375" style="106" bestFit="1" customWidth="1"/>
    <col min="7436" max="7677" width="7.85546875" style="106"/>
    <col min="7678" max="7678" width="26.42578125" style="106" customWidth="1"/>
    <col min="7679" max="7679" width="12.28515625" style="106" customWidth="1"/>
    <col min="7680" max="7680" width="14.85546875" style="106" customWidth="1"/>
    <col min="7681" max="7681" width="14.42578125" style="106" customWidth="1"/>
    <col min="7682" max="7684" width="15.140625" style="106" customWidth="1"/>
    <col min="7685" max="7685" width="13.7109375" style="106" customWidth="1"/>
    <col min="7686" max="7686" width="16.28515625" style="106" customWidth="1"/>
    <col min="7687" max="7690" width="7.85546875" style="106"/>
    <col min="7691" max="7691" width="14.7109375" style="106" bestFit="1" customWidth="1"/>
    <col min="7692" max="7933" width="7.85546875" style="106"/>
    <col min="7934" max="7934" width="26.42578125" style="106" customWidth="1"/>
    <col min="7935" max="7935" width="12.28515625" style="106" customWidth="1"/>
    <col min="7936" max="7936" width="14.85546875" style="106" customWidth="1"/>
    <col min="7937" max="7937" width="14.42578125" style="106" customWidth="1"/>
    <col min="7938" max="7940" width="15.140625" style="106" customWidth="1"/>
    <col min="7941" max="7941" width="13.7109375" style="106" customWidth="1"/>
    <col min="7942" max="7942" width="16.28515625" style="106" customWidth="1"/>
    <col min="7943" max="7946" width="7.85546875" style="106"/>
    <col min="7947" max="7947" width="14.7109375" style="106" bestFit="1" customWidth="1"/>
    <col min="7948" max="8189" width="7.85546875" style="106"/>
    <col min="8190" max="8190" width="26.42578125" style="106" customWidth="1"/>
    <col min="8191" max="8191" width="12.28515625" style="106" customWidth="1"/>
    <col min="8192" max="8192" width="14.85546875" style="106" customWidth="1"/>
    <col min="8193" max="8193" width="14.42578125" style="106" customWidth="1"/>
    <col min="8194" max="8196" width="15.140625" style="106" customWidth="1"/>
    <col min="8197" max="8197" width="13.7109375" style="106" customWidth="1"/>
    <col min="8198" max="8198" width="16.28515625" style="106" customWidth="1"/>
    <col min="8199" max="8202" width="7.85546875" style="106"/>
    <col min="8203" max="8203" width="14.7109375" style="106" bestFit="1" customWidth="1"/>
    <col min="8204" max="8445" width="7.85546875" style="106"/>
    <col min="8446" max="8446" width="26.42578125" style="106" customWidth="1"/>
    <col min="8447" max="8447" width="12.28515625" style="106" customWidth="1"/>
    <col min="8448" max="8448" width="14.85546875" style="106" customWidth="1"/>
    <col min="8449" max="8449" width="14.42578125" style="106" customWidth="1"/>
    <col min="8450" max="8452" width="15.140625" style="106" customWidth="1"/>
    <col min="8453" max="8453" width="13.7109375" style="106" customWidth="1"/>
    <col min="8454" max="8454" width="16.28515625" style="106" customWidth="1"/>
    <col min="8455" max="8458" width="7.85546875" style="106"/>
    <col min="8459" max="8459" width="14.7109375" style="106" bestFit="1" customWidth="1"/>
    <col min="8460" max="8701" width="7.85546875" style="106"/>
    <col min="8702" max="8702" width="26.42578125" style="106" customWidth="1"/>
    <col min="8703" max="8703" width="12.28515625" style="106" customWidth="1"/>
    <col min="8704" max="8704" width="14.85546875" style="106" customWidth="1"/>
    <col min="8705" max="8705" width="14.42578125" style="106" customWidth="1"/>
    <col min="8706" max="8708" width="15.140625" style="106" customWidth="1"/>
    <col min="8709" max="8709" width="13.7109375" style="106" customWidth="1"/>
    <col min="8710" max="8710" width="16.28515625" style="106" customWidth="1"/>
    <col min="8711" max="8714" width="7.85546875" style="106"/>
    <col min="8715" max="8715" width="14.7109375" style="106" bestFit="1" customWidth="1"/>
    <col min="8716" max="8957" width="7.85546875" style="106"/>
    <col min="8958" max="8958" width="26.42578125" style="106" customWidth="1"/>
    <col min="8959" max="8959" width="12.28515625" style="106" customWidth="1"/>
    <col min="8960" max="8960" width="14.85546875" style="106" customWidth="1"/>
    <col min="8961" max="8961" width="14.42578125" style="106" customWidth="1"/>
    <col min="8962" max="8964" width="15.140625" style="106" customWidth="1"/>
    <col min="8965" max="8965" width="13.7109375" style="106" customWidth="1"/>
    <col min="8966" max="8966" width="16.28515625" style="106" customWidth="1"/>
    <col min="8967" max="8970" width="7.85546875" style="106"/>
    <col min="8971" max="8971" width="14.7109375" style="106" bestFit="1" customWidth="1"/>
    <col min="8972" max="9213" width="7.85546875" style="106"/>
    <col min="9214" max="9214" width="26.42578125" style="106" customWidth="1"/>
    <col min="9215" max="9215" width="12.28515625" style="106" customWidth="1"/>
    <col min="9216" max="9216" width="14.85546875" style="106" customWidth="1"/>
    <col min="9217" max="9217" width="14.42578125" style="106" customWidth="1"/>
    <col min="9218" max="9220" width="15.140625" style="106" customWidth="1"/>
    <col min="9221" max="9221" width="13.7109375" style="106" customWidth="1"/>
    <col min="9222" max="9222" width="16.28515625" style="106" customWidth="1"/>
    <col min="9223" max="9226" width="7.85546875" style="106"/>
    <col min="9227" max="9227" width="14.7109375" style="106" bestFit="1" customWidth="1"/>
    <col min="9228" max="9469" width="7.85546875" style="106"/>
    <col min="9470" max="9470" width="26.42578125" style="106" customWidth="1"/>
    <col min="9471" max="9471" width="12.28515625" style="106" customWidth="1"/>
    <col min="9472" max="9472" width="14.85546875" style="106" customWidth="1"/>
    <col min="9473" max="9473" width="14.42578125" style="106" customWidth="1"/>
    <col min="9474" max="9476" width="15.140625" style="106" customWidth="1"/>
    <col min="9477" max="9477" width="13.7109375" style="106" customWidth="1"/>
    <col min="9478" max="9478" width="16.28515625" style="106" customWidth="1"/>
    <col min="9479" max="9482" width="7.85546875" style="106"/>
    <col min="9483" max="9483" width="14.7109375" style="106" bestFit="1" customWidth="1"/>
    <col min="9484" max="9725" width="7.85546875" style="106"/>
    <col min="9726" max="9726" width="26.42578125" style="106" customWidth="1"/>
    <col min="9727" max="9727" width="12.28515625" style="106" customWidth="1"/>
    <col min="9728" max="9728" width="14.85546875" style="106" customWidth="1"/>
    <col min="9729" max="9729" width="14.42578125" style="106" customWidth="1"/>
    <col min="9730" max="9732" width="15.140625" style="106" customWidth="1"/>
    <col min="9733" max="9733" width="13.7109375" style="106" customWidth="1"/>
    <col min="9734" max="9734" width="16.28515625" style="106" customWidth="1"/>
    <col min="9735" max="9738" width="7.85546875" style="106"/>
    <col min="9739" max="9739" width="14.7109375" style="106" bestFit="1" customWidth="1"/>
    <col min="9740" max="9981" width="7.85546875" style="106"/>
    <col min="9982" max="9982" width="26.42578125" style="106" customWidth="1"/>
    <col min="9983" max="9983" width="12.28515625" style="106" customWidth="1"/>
    <col min="9984" max="9984" width="14.85546875" style="106" customWidth="1"/>
    <col min="9985" max="9985" width="14.42578125" style="106" customWidth="1"/>
    <col min="9986" max="9988" width="15.140625" style="106" customWidth="1"/>
    <col min="9989" max="9989" width="13.7109375" style="106" customWidth="1"/>
    <col min="9990" max="9990" width="16.28515625" style="106" customWidth="1"/>
    <col min="9991" max="9994" width="7.85546875" style="106"/>
    <col min="9995" max="9995" width="14.7109375" style="106" bestFit="1" customWidth="1"/>
    <col min="9996" max="10237" width="7.85546875" style="106"/>
    <col min="10238" max="10238" width="26.42578125" style="106" customWidth="1"/>
    <col min="10239" max="10239" width="12.28515625" style="106" customWidth="1"/>
    <col min="10240" max="10240" width="14.85546875" style="106" customWidth="1"/>
    <col min="10241" max="10241" width="14.42578125" style="106" customWidth="1"/>
    <col min="10242" max="10244" width="15.140625" style="106" customWidth="1"/>
    <col min="10245" max="10245" width="13.7109375" style="106" customWidth="1"/>
    <col min="10246" max="10246" width="16.28515625" style="106" customWidth="1"/>
    <col min="10247" max="10250" width="7.85546875" style="106"/>
    <col min="10251" max="10251" width="14.7109375" style="106" bestFit="1" customWidth="1"/>
    <col min="10252" max="10493" width="7.85546875" style="106"/>
    <col min="10494" max="10494" width="26.42578125" style="106" customWidth="1"/>
    <col min="10495" max="10495" width="12.28515625" style="106" customWidth="1"/>
    <col min="10496" max="10496" width="14.85546875" style="106" customWidth="1"/>
    <col min="10497" max="10497" width="14.42578125" style="106" customWidth="1"/>
    <col min="10498" max="10500" width="15.140625" style="106" customWidth="1"/>
    <col min="10501" max="10501" width="13.7109375" style="106" customWidth="1"/>
    <col min="10502" max="10502" width="16.28515625" style="106" customWidth="1"/>
    <col min="10503" max="10506" width="7.85546875" style="106"/>
    <col min="10507" max="10507" width="14.7109375" style="106" bestFit="1" customWidth="1"/>
    <col min="10508" max="10749" width="7.85546875" style="106"/>
    <col min="10750" max="10750" width="26.42578125" style="106" customWidth="1"/>
    <col min="10751" max="10751" width="12.28515625" style="106" customWidth="1"/>
    <col min="10752" max="10752" width="14.85546875" style="106" customWidth="1"/>
    <col min="10753" max="10753" width="14.42578125" style="106" customWidth="1"/>
    <col min="10754" max="10756" width="15.140625" style="106" customWidth="1"/>
    <col min="10757" max="10757" width="13.7109375" style="106" customWidth="1"/>
    <col min="10758" max="10758" width="16.28515625" style="106" customWidth="1"/>
    <col min="10759" max="10762" width="7.85546875" style="106"/>
    <col min="10763" max="10763" width="14.7109375" style="106" bestFit="1" customWidth="1"/>
    <col min="10764" max="11005" width="7.85546875" style="106"/>
    <col min="11006" max="11006" width="26.42578125" style="106" customWidth="1"/>
    <col min="11007" max="11007" width="12.28515625" style="106" customWidth="1"/>
    <col min="11008" max="11008" width="14.85546875" style="106" customWidth="1"/>
    <col min="11009" max="11009" width="14.42578125" style="106" customWidth="1"/>
    <col min="11010" max="11012" width="15.140625" style="106" customWidth="1"/>
    <col min="11013" max="11013" width="13.7109375" style="106" customWidth="1"/>
    <col min="11014" max="11014" width="16.28515625" style="106" customWidth="1"/>
    <col min="11015" max="11018" width="7.85546875" style="106"/>
    <col min="11019" max="11019" width="14.7109375" style="106" bestFit="1" customWidth="1"/>
    <col min="11020" max="11261" width="7.85546875" style="106"/>
    <col min="11262" max="11262" width="26.42578125" style="106" customWidth="1"/>
    <col min="11263" max="11263" width="12.28515625" style="106" customWidth="1"/>
    <col min="11264" max="11264" width="14.85546875" style="106" customWidth="1"/>
    <col min="11265" max="11265" width="14.42578125" style="106" customWidth="1"/>
    <col min="11266" max="11268" width="15.140625" style="106" customWidth="1"/>
    <col min="11269" max="11269" width="13.7109375" style="106" customWidth="1"/>
    <col min="11270" max="11270" width="16.28515625" style="106" customWidth="1"/>
    <col min="11271" max="11274" width="7.85546875" style="106"/>
    <col min="11275" max="11275" width="14.7109375" style="106" bestFit="1" customWidth="1"/>
    <col min="11276" max="11517" width="7.85546875" style="106"/>
    <col min="11518" max="11518" width="26.42578125" style="106" customWidth="1"/>
    <col min="11519" max="11519" width="12.28515625" style="106" customWidth="1"/>
    <col min="11520" max="11520" width="14.85546875" style="106" customWidth="1"/>
    <col min="11521" max="11521" width="14.42578125" style="106" customWidth="1"/>
    <col min="11522" max="11524" width="15.140625" style="106" customWidth="1"/>
    <col min="11525" max="11525" width="13.7109375" style="106" customWidth="1"/>
    <col min="11526" max="11526" width="16.28515625" style="106" customWidth="1"/>
    <col min="11527" max="11530" width="7.85546875" style="106"/>
    <col min="11531" max="11531" width="14.7109375" style="106" bestFit="1" customWidth="1"/>
    <col min="11532" max="11773" width="7.85546875" style="106"/>
    <col min="11774" max="11774" width="26.42578125" style="106" customWidth="1"/>
    <col min="11775" max="11775" width="12.28515625" style="106" customWidth="1"/>
    <col min="11776" max="11776" width="14.85546875" style="106" customWidth="1"/>
    <col min="11777" max="11777" width="14.42578125" style="106" customWidth="1"/>
    <col min="11778" max="11780" width="15.140625" style="106" customWidth="1"/>
    <col min="11781" max="11781" width="13.7109375" style="106" customWidth="1"/>
    <col min="11782" max="11782" width="16.28515625" style="106" customWidth="1"/>
    <col min="11783" max="11786" width="7.85546875" style="106"/>
    <col min="11787" max="11787" width="14.7109375" style="106" bestFit="1" customWidth="1"/>
    <col min="11788" max="12029" width="7.85546875" style="106"/>
    <col min="12030" max="12030" width="26.42578125" style="106" customWidth="1"/>
    <col min="12031" max="12031" width="12.28515625" style="106" customWidth="1"/>
    <col min="12032" max="12032" width="14.85546875" style="106" customWidth="1"/>
    <col min="12033" max="12033" width="14.42578125" style="106" customWidth="1"/>
    <col min="12034" max="12036" width="15.140625" style="106" customWidth="1"/>
    <col min="12037" max="12037" width="13.7109375" style="106" customWidth="1"/>
    <col min="12038" max="12038" width="16.28515625" style="106" customWidth="1"/>
    <col min="12039" max="12042" width="7.85546875" style="106"/>
    <col min="12043" max="12043" width="14.7109375" style="106" bestFit="1" customWidth="1"/>
    <col min="12044" max="12285" width="7.85546875" style="106"/>
    <col min="12286" max="12286" width="26.42578125" style="106" customWidth="1"/>
    <col min="12287" max="12287" width="12.28515625" style="106" customWidth="1"/>
    <col min="12288" max="12288" width="14.85546875" style="106" customWidth="1"/>
    <col min="12289" max="12289" width="14.42578125" style="106" customWidth="1"/>
    <col min="12290" max="12292" width="15.140625" style="106" customWidth="1"/>
    <col min="12293" max="12293" width="13.7109375" style="106" customWidth="1"/>
    <col min="12294" max="12294" width="16.28515625" style="106" customWidth="1"/>
    <col min="12295" max="12298" width="7.85546875" style="106"/>
    <col min="12299" max="12299" width="14.7109375" style="106" bestFit="1" customWidth="1"/>
    <col min="12300" max="12541" width="7.85546875" style="106"/>
    <col min="12542" max="12542" width="26.42578125" style="106" customWidth="1"/>
    <col min="12543" max="12543" width="12.28515625" style="106" customWidth="1"/>
    <col min="12544" max="12544" width="14.85546875" style="106" customWidth="1"/>
    <col min="12545" max="12545" width="14.42578125" style="106" customWidth="1"/>
    <col min="12546" max="12548" width="15.140625" style="106" customWidth="1"/>
    <col min="12549" max="12549" width="13.7109375" style="106" customWidth="1"/>
    <col min="12550" max="12550" width="16.28515625" style="106" customWidth="1"/>
    <col min="12551" max="12554" width="7.85546875" style="106"/>
    <col min="12555" max="12555" width="14.7109375" style="106" bestFit="1" customWidth="1"/>
    <col min="12556" max="12797" width="7.85546875" style="106"/>
    <col min="12798" max="12798" width="26.42578125" style="106" customWidth="1"/>
    <col min="12799" max="12799" width="12.28515625" style="106" customWidth="1"/>
    <col min="12800" max="12800" width="14.85546875" style="106" customWidth="1"/>
    <col min="12801" max="12801" width="14.42578125" style="106" customWidth="1"/>
    <col min="12802" max="12804" width="15.140625" style="106" customWidth="1"/>
    <col min="12805" max="12805" width="13.7109375" style="106" customWidth="1"/>
    <col min="12806" max="12806" width="16.28515625" style="106" customWidth="1"/>
    <col min="12807" max="12810" width="7.85546875" style="106"/>
    <col min="12811" max="12811" width="14.7109375" style="106" bestFit="1" customWidth="1"/>
    <col min="12812" max="13053" width="7.85546875" style="106"/>
    <col min="13054" max="13054" width="26.42578125" style="106" customWidth="1"/>
    <col min="13055" max="13055" width="12.28515625" style="106" customWidth="1"/>
    <col min="13056" max="13056" width="14.85546875" style="106" customWidth="1"/>
    <col min="13057" max="13057" width="14.42578125" style="106" customWidth="1"/>
    <col min="13058" max="13060" width="15.140625" style="106" customWidth="1"/>
    <col min="13061" max="13061" width="13.7109375" style="106" customWidth="1"/>
    <col min="13062" max="13062" width="16.28515625" style="106" customWidth="1"/>
    <col min="13063" max="13066" width="7.85546875" style="106"/>
    <col min="13067" max="13067" width="14.7109375" style="106" bestFit="1" customWidth="1"/>
    <col min="13068" max="13309" width="7.85546875" style="106"/>
    <col min="13310" max="13310" width="26.42578125" style="106" customWidth="1"/>
    <col min="13311" max="13311" width="12.28515625" style="106" customWidth="1"/>
    <col min="13312" max="13312" width="14.85546875" style="106" customWidth="1"/>
    <col min="13313" max="13313" width="14.42578125" style="106" customWidth="1"/>
    <col min="13314" max="13316" width="15.140625" style="106" customWidth="1"/>
    <col min="13317" max="13317" width="13.7109375" style="106" customWidth="1"/>
    <col min="13318" max="13318" width="16.28515625" style="106" customWidth="1"/>
    <col min="13319" max="13322" width="7.85546875" style="106"/>
    <col min="13323" max="13323" width="14.7109375" style="106" bestFit="1" customWidth="1"/>
    <col min="13324" max="13565" width="7.85546875" style="106"/>
    <col min="13566" max="13566" width="26.42578125" style="106" customWidth="1"/>
    <col min="13567" max="13567" width="12.28515625" style="106" customWidth="1"/>
    <col min="13568" max="13568" width="14.85546875" style="106" customWidth="1"/>
    <col min="13569" max="13569" width="14.42578125" style="106" customWidth="1"/>
    <col min="13570" max="13572" width="15.140625" style="106" customWidth="1"/>
    <col min="13573" max="13573" width="13.7109375" style="106" customWidth="1"/>
    <col min="13574" max="13574" width="16.28515625" style="106" customWidth="1"/>
    <col min="13575" max="13578" width="7.85546875" style="106"/>
    <col min="13579" max="13579" width="14.7109375" style="106" bestFit="1" customWidth="1"/>
    <col min="13580" max="13821" width="7.85546875" style="106"/>
    <col min="13822" max="13822" width="26.42578125" style="106" customWidth="1"/>
    <col min="13823" max="13823" width="12.28515625" style="106" customWidth="1"/>
    <col min="13824" max="13824" width="14.85546875" style="106" customWidth="1"/>
    <col min="13825" max="13825" width="14.42578125" style="106" customWidth="1"/>
    <col min="13826" max="13828" width="15.140625" style="106" customWidth="1"/>
    <col min="13829" max="13829" width="13.7109375" style="106" customWidth="1"/>
    <col min="13830" max="13830" width="16.28515625" style="106" customWidth="1"/>
    <col min="13831" max="13834" width="7.85546875" style="106"/>
    <col min="13835" max="13835" width="14.7109375" style="106" bestFit="1" customWidth="1"/>
    <col min="13836" max="14077" width="7.85546875" style="106"/>
    <col min="14078" max="14078" width="26.42578125" style="106" customWidth="1"/>
    <col min="14079" max="14079" width="12.28515625" style="106" customWidth="1"/>
    <col min="14080" max="14080" width="14.85546875" style="106" customWidth="1"/>
    <col min="14081" max="14081" width="14.42578125" style="106" customWidth="1"/>
    <col min="14082" max="14084" width="15.140625" style="106" customWidth="1"/>
    <col min="14085" max="14085" width="13.7109375" style="106" customWidth="1"/>
    <col min="14086" max="14086" width="16.28515625" style="106" customWidth="1"/>
    <col min="14087" max="14090" width="7.85546875" style="106"/>
    <col min="14091" max="14091" width="14.7109375" style="106" bestFit="1" customWidth="1"/>
    <col min="14092" max="14333" width="7.85546875" style="106"/>
    <col min="14334" max="14334" width="26.42578125" style="106" customWidth="1"/>
    <col min="14335" max="14335" width="12.28515625" style="106" customWidth="1"/>
    <col min="14336" max="14336" width="14.85546875" style="106" customWidth="1"/>
    <col min="14337" max="14337" width="14.42578125" style="106" customWidth="1"/>
    <col min="14338" max="14340" width="15.140625" style="106" customWidth="1"/>
    <col min="14341" max="14341" width="13.7109375" style="106" customWidth="1"/>
    <col min="14342" max="14342" width="16.28515625" style="106" customWidth="1"/>
    <col min="14343" max="14346" width="7.85546875" style="106"/>
    <col min="14347" max="14347" width="14.7109375" style="106" bestFit="1" customWidth="1"/>
    <col min="14348" max="14589" width="7.85546875" style="106"/>
    <col min="14590" max="14590" width="26.42578125" style="106" customWidth="1"/>
    <col min="14591" max="14591" width="12.28515625" style="106" customWidth="1"/>
    <col min="14592" max="14592" width="14.85546875" style="106" customWidth="1"/>
    <col min="14593" max="14593" width="14.42578125" style="106" customWidth="1"/>
    <col min="14594" max="14596" width="15.140625" style="106" customWidth="1"/>
    <col min="14597" max="14597" width="13.7109375" style="106" customWidth="1"/>
    <col min="14598" max="14598" width="16.28515625" style="106" customWidth="1"/>
    <col min="14599" max="14602" width="7.85546875" style="106"/>
    <col min="14603" max="14603" width="14.7109375" style="106" bestFit="1" customWidth="1"/>
    <col min="14604" max="14845" width="7.85546875" style="106"/>
    <col min="14846" max="14846" width="26.42578125" style="106" customWidth="1"/>
    <col min="14847" max="14847" width="12.28515625" style="106" customWidth="1"/>
    <col min="14848" max="14848" width="14.85546875" style="106" customWidth="1"/>
    <col min="14849" max="14849" width="14.42578125" style="106" customWidth="1"/>
    <col min="14850" max="14852" width="15.140625" style="106" customWidth="1"/>
    <col min="14853" max="14853" width="13.7109375" style="106" customWidth="1"/>
    <col min="14854" max="14854" width="16.28515625" style="106" customWidth="1"/>
    <col min="14855" max="14858" width="7.85546875" style="106"/>
    <col min="14859" max="14859" width="14.7109375" style="106" bestFit="1" customWidth="1"/>
    <col min="14860" max="15101" width="7.85546875" style="106"/>
    <col min="15102" max="15102" width="26.42578125" style="106" customWidth="1"/>
    <col min="15103" max="15103" width="12.28515625" style="106" customWidth="1"/>
    <col min="15104" max="15104" width="14.85546875" style="106" customWidth="1"/>
    <col min="15105" max="15105" width="14.42578125" style="106" customWidth="1"/>
    <col min="15106" max="15108" width="15.140625" style="106" customWidth="1"/>
    <col min="15109" max="15109" width="13.7109375" style="106" customWidth="1"/>
    <col min="15110" max="15110" width="16.28515625" style="106" customWidth="1"/>
    <col min="15111" max="15114" width="7.85546875" style="106"/>
    <col min="15115" max="15115" width="14.7109375" style="106" bestFit="1" customWidth="1"/>
    <col min="15116" max="15357" width="7.85546875" style="106"/>
    <col min="15358" max="15358" width="26.42578125" style="106" customWidth="1"/>
    <col min="15359" max="15359" width="12.28515625" style="106" customWidth="1"/>
    <col min="15360" max="15360" width="14.85546875" style="106" customWidth="1"/>
    <col min="15361" max="15361" width="14.42578125" style="106" customWidth="1"/>
    <col min="15362" max="15364" width="15.140625" style="106" customWidth="1"/>
    <col min="15365" max="15365" width="13.7109375" style="106" customWidth="1"/>
    <col min="15366" max="15366" width="16.28515625" style="106" customWidth="1"/>
    <col min="15367" max="15370" width="7.85546875" style="106"/>
    <col min="15371" max="15371" width="14.7109375" style="106" bestFit="1" customWidth="1"/>
    <col min="15372" max="15613" width="7.85546875" style="106"/>
    <col min="15614" max="15614" width="26.42578125" style="106" customWidth="1"/>
    <col min="15615" max="15615" width="12.28515625" style="106" customWidth="1"/>
    <col min="15616" max="15616" width="14.85546875" style="106" customWidth="1"/>
    <col min="15617" max="15617" width="14.42578125" style="106" customWidth="1"/>
    <col min="15618" max="15620" width="15.140625" style="106" customWidth="1"/>
    <col min="15621" max="15621" width="13.7109375" style="106" customWidth="1"/>
    <col min="15622" max="15622" width="16.28515625" style="106" customWidth="1"/>
    <col min="15623" max="15626" width="7.85546875" style="106"/>
    <col min="15627" max="15627" width="14.7109375" style="106" bestFit="1" customWidth="1"/>
    <col min="15628" max="15869" width="7.85546875" style="106"/>
    <col min="15870" max="15870" width="26.42578125" style="106" customWidth="1"/>
    <col min="15871" max="15871" width="12.28515625" style="106" customWidth="1"/>
    <col min="15872" max="15872" width="14.85546875" style="106" customWidth="1"/>
    <col min="15873" max="15873" width="14.42578125" style="106" customWidth="1"/>
    <col min="15874" max="15876" width="15.140625" style="106" customWidth="1"/>
    <col min="15877" max="15877" width="13.7109375" style="106" customWidth="1"/>
    <col min="15878" max="15878" width="16.28515625" style="106" customWidth="1"/>
    <col min="15879" max="15882" width="7.85546875" style="106"/>
    <col min="15883" max="15883" width="14.7109375" style="106" bestFit="1" customWidth="1"/>
    <col min="15884" max="16125" width="7.85546875" style="106"/>
    <col min="16126" max="16126" width="26.42578125" style="106" customWidth="1"/>
    <col min="16127" max="16127" width="12.28515625" style="106" customWidth="1"/>
    <col min="16128" max="16128" width="14.85546875" style="106" customWidth="1"/>
    <col min="16129" max="16129" width="14.42578125" style="106" customWidth="1"/>
    <col min="16130" max="16132" width="15.140625" style="106" customWidth="1"/>
    <col min="16133" max="16133" width="13.7109375" style="106" customWidth="1"/>
    <col min="16134" max="16134" width="16.28515625" style="106" customWidth="1"/>
    <col min="16135" max="16138" width="7.85546875" style="106"/>
    <col min="16139" max="16139" width="14.7109375" style="106" bestFit="1" customWidth="1"/>
    <col min="16140" max="16384" width="7.85546875" style="106"/>
  </cols>
  <sheetData>
    <row r="1" spans="1:11" x14ac:dyDescent="0.2">
      <c r="F1" s="106" t="s">
        <v>140</v>
      </c>
    </row>
    <row r="5" spans="1:11" ht="15.75" customHeight="1" x14ac:dyDescent="0.25">
      <c r="A5" s="234" t="s">
        <v>99</v>
      </c>
      <c r="B5" s="234"/>
      <c r="C5" s="234"/>
      <c r="D5" s="234"/>
      <c r="E5" s="234"/>
      <c r="F5" s="234"/>
      <c r="G5" s="234"/>
      <c r="H5" s="234"/>
      <c r="I5" s="234"/>
    </row>
    <row r="6" spans="1:11" s="110" customFormat="1" ht="21.75" customHeight="1" x14ac:dyDescent="0.35">
      <c r="A6" s="107" t="s">
        <v>0</v>
      </c>
      <c r="B6" s="108"/>
      <c r="C6" s="109"/>
      <c r="D6" s="109"/>
      <c r="E6" s="109"/>
      <c r="F6" s="109"/>
      <c r="G6" s="109"/>
      <c r="H6" s="109"/>
      <c r="I6" s="109"/>
    </row>
    <row r="7" spans="1:11" s="112" customFormat="1" ht="15.75" x14ac:dyDescent="0.25">
      <c r="A7" s="111" t="s">
        <v>100</v>
      </c>
    </row>
    <row r="8" spans="1:11" s="114" customFormat="1" ht="25.5" customHeight="1" x14ac:dyDescent="0.2">
      <c r="A8" s="113" t="s">
        <v>3</v>
      </c>
      <c r="B8" s="113" t="s">
        <v>101</v>
      </c>
      <c r="C8" s="113" t="s">
        <v>102</v>
      </c>
      <c r="D8" s="113" t="s">
        <v>103</v>
      </c>
      <c r="E8" s="113" t="s">
        <v>104</v>
      </c>
      <c r="F8" s="113" t="s">
        <v>105</v>
      </c>
      <c r="G8" s="113" t="s">
        <v>106</v>
      </c>
      <c r="H8" s="113" t="s">
        <v>107</v>
      </c>
      <c r="I8" s="113" t="s">
        <v>108</v>
      </c>
      <c r="K8" s="114" t="s">
        <v>137</v>
      </c>
    </row>
    <row r="9" spans="1:11" customFormat="1" ht="17.25" customHeight="1" x14ac:dyDescent="0.25">
      <c r="A9" s="115" t="s">
        <v>109</v>
      </c>
      <c r="B9" s="116"/>
      <c r="C9" s="117"/>
      <c r="D9" s="118"/>
      <c r="E9" s="118"/>
      <c r="F9" s="118"/>
      <c r="G9" s="118"/>
      <c r="H9" s="118"/>
      <c r="I9" s="119"/>
    </row>
    <row r="10" spans="1:11" customFormat="1" ht="12.95" customHeight="1" x14ac:dyDescent="0.25">
      <c r="A10" s="120" t="s">
        <v>98</v>
      </c>
      <c r="B10" s="121">
        <v>1</v>
      </c>
      <c r="C10" s="195">
        <f>19.24*1.3</f>
        <v>25.012</v>
      </c>
      <c r="D10" s="122">
        <v>11</v>
      </c>
      <c r="E10" s="123">
        <v>0</v>
      </c>
      <c r="F10" s="123">
        <f>(((C10*2*14)*B10)*1.7+((C10*10*4)*B10)*2)</f>
        <v>3191.5312000000004</v>
      </c>
      <c r="G10" s="123">
        <v>0</v>
      </c>
      <c r="H10" s="215">
        <f>C10*(25*8)*B10+C10*(15*8)*B10</f>
        <v>8003.84</v>
      </c>
      <c r="I10" s="178">
        <f t="shared" ref="I10" si="0">E10+F10+G10+H10</f>
        <v>11195.371200000001</v>
      </c>
      <c r="K10" s="97">
        <f>80*C10*B10</f>
        <v>2000.96</v>
      </c>
    </row>
    <row r="11" spans="1:11" customFormat="1" ht="12.95" customHeight="1" x14ac:dyDescent="0.25">
      <c r="A11" s="120" t="s">
        <v>65</v>
      </c>
      <c r="B11" s="121">
        <v>2</v>
      </c>
      <c r="C11" s="195">
        <f>(4070.76/220)*1.04</f>
        <v>19.243592727272727</v>
      </c>
      <c r="D11" s="122" t="s">
        <v>110</v>
      </c>
      <c r="E11" s="123">
        <v>0</v>
      </c>
      <c r="F11" s="123">
        <f t="shared" ref="F11:F21" si="1">(((C11*2*14)*B11)*1.7+((C11*10*4)*B11)*2)</f>
        <v>4910.9648639999996</v>
      </c>
      <c r="G11" s="123">
        <f>((C11*8*18)*0.4)*B11/2</f>
        <v>1108.4309410909091</v>
      </c>
      <c r="H11" s="215">
        <f>C11*(30*8)*B11</f>
        <v>9236.9245090909099</v>
      </c>
      <c r="I11" s="178">
        <f t="shared" ref="I11:I15" si="2">E11+F11+G11+H11</f>
        <v>15256.320314181819</v>
      </c>
      <c r="J11" s="106"/>
      <c r="K11" s="97">
        <f t="shared" ref="K11:K21" si="3">170*C11*B11</f>
        <v>6542.8215272727275</v>
      </c>
    </row>
    <row r="12" spans="1:11" customFormat="1" ht="12.95" customHeight="1" x14ac:dyDescent="0.25">
      <c r="A12" s="120" t="s">
        <v>66</v>
      </c>
      <c r="B12" s="121">
        <v>1</v>
      </c>
      <c r="C12" s="195">
        <f>(2366.15/220)*1.04</f>
        <v>11.185436363636365</v>
      </c>
      <c r="D12" s="122">
        <v>11</v>
      </c>
      <c r="E12" s="123">
        <v>0</v>
      </c>
      <c r="F12" s="123">
        <f t="shared" si="1"/>
        <v>1427.2616800000001</v>
      </c>
      <c r="G12" s="123">
        <f>((C12*8*18)*0.4)*B12/2</f>
        <v>322.14056727272737</v>
      </c>
      <c r="H12" s="215">
        <f>C12*(30*8)*B12</f>
        <v>2684.5047272727275</v>
      </c>
      <c r="I12" s="178">
        <f t="shared" si="2"/>
        <v>4433.9069745454544</v>
      </c>
      <c r="K12" s="97">
        <f>170*C12*B12</f>
        <v>1901.5241818181821</v>
      </c>
    </row>
    <row r="13" spans="1:11" customFormat="1" ht="12.95" customHeight="1" x14ac:dyDescent="0.25">
      <c r="A13" s="120" t="s">
        <v>74</v>
      </c>
      <c r="B13" s="121">
        <v>1</v>
      </c>
      <c r="C13" s="195">
        <f>(2002/220)*1.04</f>
        <v>9.4640000000000004</v>
      </c>
      <c r="D13" s="122">
        <v>11</v>
      </c>
      <c r="E13" s="123">
        <v>0</v>
      </c>
      <c r="F13" s="123">
        <f t="shared" si="1"/>
        <v>1207.6064000000001</v>
      </c>
      <c r="G13" s="123">
        <v>0</v>
      </c>
      <c r="H13" s="215">
        <f t="shared" ref="H13:H15" si="4">C13*(30*8)*B13</f>
        <v>2271.36</v>
      </c>
      <c r="I13" s="178">
        <f t="shared" si="2"/>
        <v>3478.9664000000002</v>
      </c>
      <c r="K13" s="97">
        <f t="shared" si="3"/>
        <v>1608.88</v>
      </c>
    </row>
    <row r="14" spans="1:11" customFormat="1" ht="12.95" customHeight="1" x14ac:dyDescent="0.25">
      <c r="A14" s="120" t="s">
        <v>67</v>
      </c>
      <c r="B14" s="121">
        <v>1</v>
      </c>
      <c r="C14" s="195">
        <v>33.28</v>
      </c>
      <c r="D14" s="122">
        <v>11</v>
      </c>
      <c r="E14" s="123">
        <v>0</v>
      </c>
      <c r="F14" s="123">
        <f t="shared" si="1"/>
        <v>4246.5280000000002</v>
      </c>
      <c r="G14" s="123">
        <v>0</v>
      </c>
      <c r="H14" s="215">
        <f t="shared" si="4"/>
        <v>7987.2000000000007</v>
      </c>
      <c r="I14" s="178">
        <f t="shared" si="2"/>
        <v>12233.728000000001</v>
      </c>
      <c r="K14" s="97">
        <f t="shared" si="3"/>
        <v>5657.6</v>
      </c>
    </row>
    <row r="15" spans="1:11" customFormat="1" ht="12.95" customHeight="1" x14ac:dyDescent="0.25">
      <c r="A15" s="120" t="s">
        <v>111</v>
      </c>
      <c r="B15" s="121">
        <v>2</v>
      </c>
      <c r="C15" s="195">
        <v>17.68</v>
      </c>
      <c r="D15" s="122" t="s">
        <v>110</v>
      </c>
      <c r="E15" s="123">
        <v>0</v>
      </c>
      <c r="F15" s="123">
        <f t="shared" si="1"/>
        <v>4511.9359999999997</v>
      </c>
      <c r="G15" s="123">
        <f t="shared" ref="G15:G21" si="5">((C15*8*18)*0.4)*B15/2</f>
        <v>1018.3680000000001</v>
      </c>
      <c r="H15" s="215">
        <f t="shared" si="4"/>
        <v>8486.4</v>
      </c>
      <c r="I15" s="178">
        <f t="shared" si="2"/>
        <v>14016.704</v>
      </c>
      <c r="K15" s="97">
        <f>170*C15*1+80*C15*1</f>
        <v>4420</v>
      </c>
    </row>
    <row r="16" spans="1:11" customFormat="1" ht="12.95" customHeight="1" x14ac:dyDescent="0.25">
      <c r="A16" s="125" t="s">
        <v>112</v>
      </c>
      <c r="B16" s="121"/>
      <c r="C16" s="195"/>
      <c r="D16" s="122"/>
      <c r="E16" s="123"/>
      <c r="F16" s="123"/>
      <c r="G16" s="123"/>
      <c r="H16" s="215"/>
      <c r="I16" s="126"/>
      <c r="K16" s="97"/>
    </row>
    <row r="17" spans="1:11" customFormat="1" ht="12.95" customHeight="1" x14ac:dyDescent="0.25">
      <c r="A17" s="120" t="s">
        <v>68</v>
      </c>
      <c r="B17" s="121">
        <v>14</v>
      </c>
      <c r="C17" s="195">
        <v>10.39</v>
      </c>
      <c r="D17" s="122" t="s">
        <v>110</v>
      </c>
      <c r="E17" s="123">
        <v>0</v>
      </c>
      <c r="F17" s="123">
        <f t="shared" si="1"/>
        <v>18560.696</v>
      </c>
      <c r="G17" s="123">
        <f t="shared" si="5"/>
        <v>4189.2480000000005</v>
      </c>
      <c r="H17" s="215">
        <f>C17*(30*8)*B17</f>
        <v>34910.400000000009</v>
      </c>
      <c r="I17" s="178">
        <f>E17+F17+G17+H17</f>
        <v>57660.344000000012</v>
      </c>
      <c r="K17" s="97">
        <f t="shared" si="3"/>
        <v>24728.200000000004</v>
      </c>
    </row>
    <row r="18" spans="1:11" customFormat="1" ht="12.95" customHeight="1" x14ac:dyDescent="0.25">
      <c r="A18" s="120" t="s">
        <v>69</v>
      </c>
      <c r="B18" s="121">
        <v>12</v>
      </c>
      <c r="C18" s="195">
        <v>5.7</v>
      </c>
      <c r="D18" s="122" t="s">
        <v>110</v>
      </c>
      <c r="E18" s="123">
        <v>0</v>
      </c>
      <c r="F18" s="123">
        <f t="shared" si="1"/>
        <v>8727.84</v>
      </c>
      <c r="G18" s="123">
        <f t="shared" si="5"/>
        <v>1969.9200000000003</v>
      </c>
      <c r="H18" s="215">
        <f t="shared" ref="H18:H21" si="6">C18*(30*8)*B18</f>
        <v>16416</v>
      </c>
      <c r="I18" s="178">
        <f>E18+F18+G18+H18</f>
        <v>27113.760000000002</v>
      </c>
      <c r="K18" s="97">
        <f t="shared" si="3"/>
        <v>11628</v>
      </c>
    </row>
    <row r="19" spans="1:11" customFormat="1" ht="12.95" customHeight="1" x14ac:dyDescent="0.25">
      <c r="A19" s="120" t="s">
        <v>70</v>
      </c>
      <c r="B19" s="121">
        <v>8</v>
      </c>
      <c r="C19" s="195">
        <v>9.33</v>
      </c>
      <c r="D19" s="122" t="s">
        <v>110</v>
      </c>
      <c r="E19" s="123">
        <v>0</v>
      </c>
      <c r="F19" s="123">
        <f t="shared" si="1"/>
        <v>9524.0640000000003</v>
      </c>
      <c r="G19" s="123">
        <f t="shared" si="5"/>
        <v>2149.6320000000001</v>
      </c>
      <c r="H19" s="215">
        <f t="shared" si="6"/>
        <v>17913.599999999999</v>
      </c>
      <c r="I19" s="178">
        <f>E19+F19+G19+H19</f>
        <v>29587.295999999998</v>
      </c>
      <c r="K19" s="97">
        <f t="shared" si="3"/>
        <v>12688.8</v>
      </c>
    </row>
    <row r="20" spans="1:11" customFormat="1" ht="12.95" customHeight="1" x14ac:dyDescent="0.25">
      <c r="A20" s="120" t="s">
        <v>71</v>
      </c>
      <c r="B20" s="121">
        <v>2</v>
      </c>
      <c r="C20" s="195">
        <f>(2002/220)*1.04</f>
        <v>9.4640000000000004</v>
      </c>
      <c r="D20" s="122" t="s">
        <v>110</v>
      </c>
      <c r="E20" s="123">
        <v>0</v>
      </c>
      <c r="F20" s="123">
        <f t="shared" si="1"/>
        <v>2415.2128000000002</v>
      </c>
      <c r="G20" s="123">
        <f t="shared" si="5"/>
        <v>545.12639999999999</v>
      </c>
      <c r="H20" s="215">
        <f t="shared" si="6"/>
        <v>4542.72</v>
      </c>
      <c r="I20" s="178">
        <f>E20+F20+G20+H20</f>
        <v>7503.0592000000006</v>
      </c>
      <c r="K20" s="97">
        <f t="shared" si="3"/>
        <v>3217.76</v>
      </c>
    </row>
    <row r="21" spans="1:11" customFormat="1" ht="12.95" customHeight="1" x14ac:dyDescent="0.25">
      <c r="A21" s="120" t="s">
        <v>72</v>
      </c>
      <c r="B21" s="121">
        <v>2</v>
      </c>
      <c r="C21" s="195">
        <f>(2002/220)*1.04</f>
        <v>9.4640000000000004</v>
      </c>
      <c r="D21" s="122" t="s">
        <v>110</v>
      </c>
      <c r="E21" s="123">
        <v>0</v>
      </c>
      <c r="F21" s="123">
        <f t="shared" si="1"/>
        <v>2415.2128000000002</v>
      </c>
      <c r="G21" s="123">
        <f t="shared" si="5"/>
        <v>545.12639999999999</v>
      </c>
      <c r="H21" s="215">
        <f t="shared" si="6"/>
        <v>4542.72</v>
      </c>
      <c r="I21" s="178">
        <f>E21+F21+G21+H21</f>
        <v>7503.0592000000006</v>
      </c>
      <c r="K21" s="97">
        <f t="shared" si="3"/>
        <v>3217.76</v>
      </c>
    </row>
    <row r="22" spans="1:11" customFormat="1" ht="12.95" customHeight="1" x14ac:dyDescent="0.25">
      <c r="A22" s="127"/>
      <c r="B22" s="121"/>
      <c r="C22" s="128"/>
      <c r="D22" s="122"/>
      <c r="E22" s="122"/>
      <c r="F22" s="122"/>
      <c r="G22" s="122"/>
      <c r="H22" s="129"/>
      <c r="I22" s="130"/>
      <c r="K22" s="176">
        <f>SUM(K10:K21)</f>
        <v>77612.305709090899</v>
      </c>
    </row>
    <row r="23" spans="1:11" customFormat="1" ht="12.95" customHeight="1" x14ac:dyDescent="0.25">
      <c r="A23" s="125"/>
      <c r="B23" s="131"/>
      <c r="C23" s="128"/>
      <c r="D23" s="122"/>
      <c r="E23" s="122"/>
      <c r="F23" s="122"/>
      <c r="G23" s="122"/>
      <c r="H23" s="122"/>
      <c r="I23" s="132"/>
    </row>
    <row r="24" spans="1:11" customFormat="1" ht="12.95" customHeight="1" x14ac:dyDescent="0.25">
      <c r="A24" s="133"/>
      <c r="B24" s="134"/>
      <c r="C24" s="128"/>
      <c r="D24" s="122"/>
      <c r="E24" s="135"/>
      <c r="F24" s="135"/>
      <c r="G24" s="135"/>
      <c r="H24" s="129"/>
      <c r="I24" s="130"/>
    </row>
    <row r="25" spans="1:11" customFormat="1" ht="14.1" customHeight="1" x14ac:dyDescent="0.25">
      <c r="A25" s="136" t="s">
        <v>154</v>
      </c>
      <c r="B25" s="137"/>
      <c r="C25" s="138"/>
      <c r="D25" s="139"/>
      <c r="E25" s="139"/>
      <c r="F25" s="139"/>
      <c r="G25" s="139"/>
      <c r="H25" s="139"/>
      <c r="I25" s="140"/>
    </row>
    <row r="26" spans="1:11" s="112" customFormat="1" ht="14.25" customHeight="1" x14ac:dyDescent="0.2">
      <c r="C26" s="141"/>
      <c r="D26" s="235" t="s">
        <v>113</v>
      </c>
      <c r="E26" s="236"/>
      <c r="F26" s="236"/>
      <c r="G26" s="236"/>
      <c r="H26" s="237"/>
      <c r="I26" s="142">
        <f>SUM(I10:I24)</f>
        <v>189982.51528872727</v>
      </c>
    </row>
    <row r="27" spans="1:11" s="112" customFormat="1" ht="17.25" customHeight="1" x14ac:dyDescent="0.25">
      <c r="A27" s="111" t="s">
        <v>114</v>
      </c>
    </row>
    <row r="28" spans="1:11" s="112" customFormat="1" ht="13.5" customHeight="1" x14ac:dyDescent="0.2">
      <c r="A28" s="143" t="s">
        <v>115</v>
      </c>
      <c r="B28" s="144" t="s">
        <v>116</v>
      </c>
      <c r="C28" s="145" t="s">
        <v>117</v>
      </c>
      <c r="D28" s="146"/>
      <c r="E28" s="146"/>
      <c r="F28" s="146"/>
      <c r="G28" s="146"/>
      <c r="H28" s="146"/>
    </row>
    <row r="29" spans="1:11" s="112" customFormat="1" ht="15.75" hidden="1" customHeight="1" x14ac:dyDescent="0.2">
      <c r="A29" s="147" t="s">
        <v>118</v>
      </c>
      <c r="B29" s="148"/>
      <c r="C29" s="149"/>
      <c r="D29" s="150"/>
      <c r="E29" s="150"/>
      <c r="F29" s="150"/>
      <c r="G29" s="150"/>
      <c r="H29" s="150"/>
    </row>
    <row r="30" spans="1:11" s="112" customFormat="1" ht="12.75" hidden="1" x14ac:dyDescent="0.2">
      <c r="A30" s="151" t="s">
        <v>119</v>
      </c>
      <c r="B30" s="152">
        <v>0.2</v>
      </c>
      <c r="C30" s="153">
        <f>I26*B30</f>
        <v>37996.503057745453</v>
      </c>
      <c r="D30" s="150"/>
      <c r="E30" s="150"/>
      <c r="F30" s="150"/>
      <c r="G30" s="150"/>
      <c r="H30" s="150"/>
    </row>
    <row r="31" spans="1:11" s="112" customFormat="1" ht="12.75" hidden="1" x14ac:dyDescent="0.2">
      <c r="A31" s="151" t="s">
        <v>120</v>
      </c>
      <c r="B31" s="152">
        <v>8.5000000000000006E-2</v>
      </c>
      <c r="C31" s="153">
        <f>I26*B31</f>
        <v>16148.513799541819</v>
      </c>
      <c r="D31" s="154"/>
      <c r="E31" s="154"/>
      <c r="F31" s="154"/>
      <c r="G31" s="154"/>
      <c r="H31" s="150"/>
    </row>
    <row r="32" spans="1:11" s="112" customFormat="1" ht="12.75" hidden="1" x14ac:dyDescent="0.2">
      <c r="A32" s="151"/>
      <c r="B32" s="152"/>
      <c r="C32" s="153"/>
      <c r="D32" s="154"/>
      <c r="E32" s="154"/>
      <c r="F32" s="154"/>
      <c r="G32" s="154"/>
      <c r="H32" s="150"/>
    </row>
    <row r="33" spans="1:8" s="112" customFormat="1" ht="15.75" hidden="1" customHeight="1" x14ac:dyDescent="0.2">
      <c r="A33" s="155" t="s">
        <v>121</v>
      </c>
      <c r="B33" s="156"/>
      <c r="C33" s="157"/>
      <c r="D33" s="150"/>
      <c r="E33" s="150"/>
      <c r="F33" s="150"/>
      <c r="G33" s="150"/>
      <c r="H33" s="150"/>
    </row>
    <row r="34" spans="1:8" s="112" customFormat="1" ht="12.95" hidden="1" customHeight="1" x14ac:dyDescent="0.2">
      <c r="A34" s="151" t="s">
        <v>122</v>
      </c>
      <c r="B34" s="152">
        <v>0.1091</v>
      </c>
      <c r="C34" s="153">
        <f>I26*B34</f>
        <v>20727.092418000146</v>
      </c>
      <c r="D34" s="150"/>
      <c r="E34" s="150"/>
      <c r="F34" s="150"/>
      <c r="G34" s="150"/>
      <c r="H34" s="150"/>
    </row>
    <row r="35" spans="1:8" s="112" customFormat="1" ht="12.75" hidden="1" x14ac:dyDescent="0.2">
      <c r="A35" s="151" t="s">
        <v>123</v>
      </c>
      <c r="B35" s="152">
        <v>9.4500000000000001E-2</v>
      </c>
      <c r="C35" s="153">
        <f>I26*B35</f>
        <v>17953.347694784727</v>
      </c>
      <c r="D35" s="150"/>
      <c r="E35" s="150"/>
      <c r="F35" s="150"/>
      <c r="G35" s="150"/>
      <c r="H35" s="150"/>
    </row>
    <row r="36" spans="1:8" s="112" customFormat="1" ht="12.75" hidden="1" x14ac:dyDescent="0.2">
      <c r="A36" s="151" t="s">
        <v>124</v>
      </c>
      <c r="B36" s="158">
        <v>5.4999999999999997E-3</v>
      </c>
      <c r="C36" s="153">
        <f>I26*B36</f>
        <v>1044.9038340879999</v>
      </c>
      <c r="D36" s="150"/>
      <c r="E36" s="150"/>
      <c r="F36" s="150"/>
      <c r="G36" s="150"/>
      <c r="H36" s="150"/>
    </row>
    <row r="37" spans="1:8" s="112" customFormat="1" ht="12.75" hidden="1" x14ac:dyDescent="0.2">
      <c r="A37" s="151" t="s">
        <v>125</v>
      </c>
      <c r="B37" s="152">
        <v>0.5</v>
      </c>
      <c r="C37" s="153">
        <f>I26*B37</f>
        <v>94991.257644363635</v>
      </c>
      <c r="D37" s="150"/>
      <c r="E37" s="150"/>
      <c r="F37" s="150"/>
      <c r="G37" s="150"/>
      <c r="H37" s="150"/>
    </row>
    <row r="38" spans="1:8" s="112" customFormat="1" ht="12.75" hidden="1" x14ac:dyDescent="0.2">
      <c r="A38" s="151"/>
      <c r="B38" s="159"/>
      <c r="C38" s="153"/>
      <c r="D38" s="150"/>
      <c r="E38" s="150"/>
      <c r="F38" s="150"/>
      <c r="G38" s="150"/>
      <c r="H38" s="150"/>
    </row>
    <row r="39" spans="1:8" s="112" customFormat="1" ht="15.75" hidden="1" customHeight="1" x14ac:dyDescent="0.2">
      <c r="A39" s="155" t="s">
        <v>126</v>
      </c>
      <c r="B39" s="156"/>
      <c r="C39" s="160"/>
      <c r="D39" s="150"/>
      <c r="E39" s="150"/>
      <c r="F39" s="150"/>
      <c r="G39" s="150"/>
      <c r="H39" s="150"/>
    </row>
    <row r="40" spans="1:8" s="112" customFormat="1" ht="10.5" hidden="1" customHeight="1" x14ac:dyDescent="0.2">
      <c r="A40" s="155"/>
      <c r="B40" s="156"/>
      <c r="C40" s="160"/>
      <c r="D40" s="150"/>
      <c r="E40" s="150"/>
      <c r="F40" s="150"/>
      <c r="G40" s="150"/>
      <c r="H40" s="150"/>
    </row>
    <row r="41" spans="1:8" s="112" customFormat="1" ht="12.95" hidden="1" customHeight="1" x14ac:dyDescent="0.2">
      <c r="A41" s="151" t="s">
        <v>127</v>
      </c>
      <c r="B41" s="152">
        <v>7.9299999999999995E-2</v>
      </c>
      <c r="C41" s="153">
        <f>I26*B41</f>
        <v>15065.613462396072</v>
      </c>
      <c r="D41" s="150"/>
      <c r="E41" s="150"/>
      <c r="F41" s="150"/>
      <c r="G41" s="150"/>
      <c r="H41" s="150"/>
    </row>
    <row r="42" spans="1:8" s="112" customFormat="1" ht="12.95" hidden="1" customHeight="1" x14ac:dyDescent="0.2">
      <c r="A42" s="151"/>
      <c r="B42" s="152"/>
      <c r="C42" s="153"/>
      <c r="D42" s="150"/>
      <c r="E42" s="150"/>
      <c r="F42" s="150"/>
      <c r="G42" s="150"/>
      <c r="H42" s="150"/>
    </row>
    <row r="43" spans="1:8" s="112" customFormat="1" ht="15.75" hidden="1" customHeight="1" x14ac:dyDescent="0.2">
      <c r="A43" s="155" t="s">
        <v>128</v>
      </c>
      <c r="B43" s="156"/>
      <c r="C43" s="160"/>
      <c r="D43" s="150"/>
      <c r="E43" s="150"/>
      <c r="F43" s="150"/>
      <c r="G43" s="150"/>
      <c r="H43" s="150"/>
    </row>
    <row r="44" spans="1:8" s="112" customFormat="1" ht="8.25" hidden="1" customHeight="1" x14ac:dyDescent="0.2">
      <c r="A44" s="155"/>
      <c r="B44" s="161"/>
      <c r="C44" s="160"/>
      <c r="D44" s="150"/>
      <c r="E44" s="150"/>
      <c r="F44" s="150"/>
      <c r="G44" s="150"/>
      <c r="H44" s="150"/>
    </row>
    <row r="45" spans="1:8" s="112" customFormat="1" ht="12.95" hidden="1" customHeight="1" x14ac:dyDescent="0.2">
      <c r="A45" s="151" t="s">
        <v>129</v>
      </c>
      <c r="B45" s="162" t="s">
        <v>130</v>
      </c>
      <c r="C45" s="153">
        <f>50/100*C31</f>
        <v>8074.2568997709095</v>
      </c>
      <c r="D45" s="150"/>
      <c r="E45" s="150"/>
      <c r="F45" s="150"/>
      <c r="G45" s="150"/>
      <c r="H45" s="150"/>
    </row>
    <row r="46" spans="1:8" s="112" customFormat="1" ht="12.75" hidden="1" x14ac:dyDescent="0.2">
      <c r="A46" s="163"/>
      <c r="B46" s="164"/>
      <c r="C46" s="165"/>
      <c r="D46" s="150"/>
      <c r="E46" s="150"/>
      <c r="F46" s="150"/>
      <c r="G46" s="150"/>
      <c r="H46" s="150"/>
    </row>
    <row r="47" spans="1:8" s="112" customFormat="1" ht="14.25" customHeight="1" x14ac:dyDescent="0.2">
      <c r="A47" s="166" t="s">
        <v>131</v>
      </c>
      <c r="B47" s="167"/>
      <c r="C47" s="168">
        <f>SUM(C30:C46)</f>
        <v>212001.48881069079</v>
      </c>
      <c r="D47" s="169"/>
      <c r="E47" s="170"/>
      <c r="F47" s="170"/>
      <c r="G47" s="170"/>
      <c r="H47" s="171"/>
    </row>
    <row r="48" spans="1:8" s="112" customFormat="1" ht="7.5" customHeight="1" x14ac:dyDescent="0.2">
      <c r="B48" s="146"/>
    </row>
    <row r="49" spans="1:9" s="112" customFormat="1" ht="14.25" customHeight="1" x14ac:dyDescent="0.2">
      <c r="A49" s="172"/>
      <c r="C49" s="173"/>
      <c r="D49" s="238" t="s">
        <v>132</v>
      </c>
      <c r="E49" s="239"/>
      <c r="F49" s="174"/>
      <c r="G49" s="174"/>
      <c r="H49" s="240">
        <f>C47+I26</f>
        <v>401984.00409941806</v>
      </c>
      <c r="I49" s="241"/>
    </row>
    <row r="50" spans="1:9" customFormat="1" ht="17.25" customHeight="1" x14ac:dyDescent="0.25"/>
    <row r="51" spans="1:9" customFormat="1" ht="17.25" customHeight="1" x14ac:dyDescent="0.25">
      <c r="A51" s="242" t="s">
        <v>148</v>
      </c>
      <c r="B51" s="243"/>
      <c r="C51" s="243"/>
      <c r="D51" s="243"/>
      <c r="E51" s="243"/>
      <c r="F51" s="243"/>
      <c r="G51" s="244"/>
    </row>
    <row r="52" spans="1:9" s="112" customFormat="1" ht="12.75" x14ac:dyDescent="0.2"/>
    <row r="53" spans="1:9" s="112" customFormat="1" x14ac:dyDescent="0.2">
      <c r="A53" s="179"/>
      <c r="B53" s="180" t="s">
        <v>141</v>
      </c>
      <c r="C53" s="180" t="s">
        <v>142</v>
      </c>
      <c r="D53" s="177" t="s">
        <v>143</v>
      </c>
      <c r="E53" s="177" t="s">
        <v>144</v>
      </c>
      <c r="F53" s="177" t="s">
        <v>145</v>
      </c>
      <c r="G53" s="177" t="s">
        <v>138</v>
      </c>
    </row>
    <row r="54" spans="1:9" s="112" customFormat="1" ht="12.75" x14ac:dyDescent="0.2">
      <c r="A54" s="120" t="s">
        <v>98</v>
      </c>
      <c r="B54" s="121">
        <v>1</v>
      </c>
      <c r="C54" s="181">
        <v>30</v>
      </c>
      <c r="D54" s="177">
        <v>5.4</v>
      </c>
      <c r="E54" s="177">
        <v>12.96</v>
      </c>
      <c r="F54" s="182">
        <v>10</v>
      </c>
      <c r="G54" s="183">
        <f t="shared" ref="G54:G59" si="7">(B54*C54*(D54+E54+F54))</f>
        <v>850.8</v>
      </c>
      <c r="H54" s="233"/>
    </row>
    <row r="55" spans="1:9" s="112" customFormat="1" ht="12.75" x14ac:dyDescent="0.2">
      <c r="A55" s="120" t="s">
        <v>65</v>
      </c>
      <c r="B55" s="121">
        <v>1</v>
      </c>
      <c r="C55" s="181">
        <f t="shared" ref="C55:C64" si="8">20+5</f>
        <v>25</v>
      </c>
      <c r="D55" s="177">
        <v>5.4</v>
      </c>
      <c r="E55" s="177">
        <v>12.96</v>
      </c>
      <c r="F55" s="182">
        <v>10</v>
      </c>
      <c r="G55" s="183">
        <f t="shared" si="7"/>
        <v>709</v>
      </c>
      <c r="H55" s="233"/>
    </row>
    <row r="56" spans="1:9" s="112" customFormat="1" ht="12.75" x14ac:dyDescent="0.2">
      <c r="A56" s="120" t="s">
        <v>66</v>
      </c>
      <c r="B56" s="121">
        <v>1</v>
      </c>
      <c r="C56" s="181">
        <f t="shared" si="8"/>
        <v>25</v>
      </c>
      <c r="D56" s="177">
        <v>5.4</v>
      </c>
      <c r="E56" s="177">
        <v>12.96</v>
      </c>
      <c r="F56" s="182">
        <v>10</v>
      </c>
      <c r="G56" s="183">
        <f t="shared" si="7"/>
        <v>709</v>
      </c>
      <c r="H56" s="233"/>
    </row>
    <row r="57" spans="1:9" s="112" customFormat="1" ht="12.75" x14ac:dyDescent="0.2">
      <c r="A57" s="120" t="s">
        <v>74</v>
      </c>
      <c r="B57" s="121">
        <v>1</v>
      </c>
      <c r="C57" s="181">
        <f t="shared" si="8"/>
        <v>25</v>
      </c>
      <c r="D57" s="177">
        <v>5.4</v>
      </c>
      <c r="E57" s="177">
        <v>12.96</v>
      </c>
      <c r="F57" s="182">
        <v>10</v>
      </c>
      <c r="G57" s="183">
        <f t="shared" si="7"/>
        <v>709</v>
      </c>
      <c r="H57" s="233"/>
    </row>
    <row r="58" spans="1:9" s="112" customFormat="1" ht="12.75" x14ac:dyDescent="0.2">
      <c r="A58" s="120" t="s">
        <v>67</v>
      </c>
      <c r="B58" s="121">
        <v>1</v>
      </c>
      <c r="C58" s="181">
        <f t="shared" si="8"/>
        <v>25</v>
      </c>
      <c r="D58" s="177">
        <v>5.4</v>
      </c>
      <c r="E58" s="177">
        <v>12.96</v>
      </c>
      <c r="F58" s="182">
        <v>10</v>
      </c>
      <c r="G58" s="183">
        <f t="shared" si="7"/>
        <v>709</v>
      </c>
      <c r="H58" s="233"/>
    </row>
    <row r="59" spans="1:9" s="112" customFormat="1" ht="12.75" x14ac:dyDescent="0.2">
      <c r="A59" s="120" t="s">
        <v>111</v>
      </c>
      <c r="B59" s="121">
        <v>1</v>
      </c>
      <c r="C59" s="181">
        <f t="shared" si="8"/>
        <v>25</v>
      </c>
      <c r="D59" s="177">
        <v>5.4</v>
      </c>
      <c r="E59" s="177">
        <v>12.96</v>
      </c>
      <c r="F59" s="182">
        <v>10</v>
      </c>
      <c r="G59" s="183">
        <f t="shared" si="7"/>
        <v>709</v>
      </c>
      <c r="H59" s="233"/>
    </row>
    <row r="60" spans="1:9" s="112" customFormat="1" ht="12.75" x14ac:dyDescent="0.2">
      <c r="A60" s="120" t="s">
        <v>68</v>
      </c>
      <c r="B60" s="121">
        <v>7</v>
      </c>
      <c r="C60" s="181">
        <f t="shared" si="8"/>
        <v>25</v>
      </c>
      <c r="D60" s="177">
        <v>5.4</v>
      </c>
      <c r="E60" s="177">
        <v>12.96</v>
      </c>
      <c r="F60" s="182">
        <v>10</v>
      </c>
      <c r="G60" s="183">
        <f t="shared" ref="G60:G64" si="9">(B60*C60*(D60+E60+F60))</f>
        <v>4963</v>
      </c>
      <c r="H60" s="233"/>
    </row>
    <row r="61" spans="1:9" s="112" customFormat="1" ht="12.75" x14ac:dyDescent="0.2">
      <c r="A61" s="120" t="s">
        <v>69</v>
      </c>
      <c r="B61" s="121">
        <v>6</v>
      </c>
      <c r="C61" s="181">
        <f t="shared" si="8"/>
        <v>25</v>
      </c>
      <c r="D61" s="177">
        <v>5.4</v>
      </c>
      <c r="E61" s="177">
        <v>12.96</v>
      </c>
      <c r="F61" s="182">
        <v>10</v>
      </c>
      <c r="G61" s="183">
        <f t="shared" si="9"/>
        <v>4254</v>
      </c>
      <c r="H61" s="233"/>
    </row>
    <row r="62" spans="1:9" s="112" customFormat="1" ht="12.75" x14ac:dyDescent="0.2">
      <c r="A62" s="120" t="s">
        <v>70</v>
      </c>
      <c r="B62" s="121">
        <v>3</v>
      </c>
      <c r="C62" s="181">
        <f t="shared" si="8"/>
        <v>25</v>
      </c>
      <c r="D62" s="177">
        <v>5.4</v>
      </c>
      <c r="E62" s="177">
        <v>12.96</v>
      </c>
      <c r="F62" s="182">
        <v>10</v>
      </c>
      <c r="G62" s="183">
        <f t="shared" si="9"/>
        <v>2127</v>
      </c>
      <c r="H62" s="233"/>
    </row>
    <row r="63" spans="1:9" s="112" customFormat="1" ht="12.75" x14ac:dyDescent="0.2">
      <c r="A63" s="120" t="s">
        <v>71</v>
      </c>
      <c r="B63" s="121">
        <v>1</v>
      </c>
      <c r="C63" s="181">
        <f t="shared" si="8"/>
        <v>25</v>
      </c>
      <c r="D63" s="177">
        <v>5.4</v>
      </c>
      <c r="E63" s="177">
        <v>12.96</v>
      </c>
      <c r="F63" s="182">
        <v>10</v>
      </c>
      <c r="G63" s="183">
        <f t="shared" si="9"/>
        <v>709</v>
      </c>
      <c r="H63" s="233"/>
    </row>
    <row r="64" spans="1:9" s="112" customFormat="1" ht="12.75" x14ac:dyDescent="0.2">
      <c r="A64" s="120" t="s">
        <v>72</v>
      </c>
      <c r="B64" s="121">
        <v>1</v>
      </c>
      <c r="C64" s="181">
        <f t="shared" si="8"/>
        <v>25</v>
      </c>
      <c r="D64" s="177">
        <v>5.4</v>
      </c>
      <c r="E64" s="177">
        <v>12.96</v>
      </c>
      <c r="F64" s="182">
        <v>10</v>
      </c>
      <c r="G64" s="183">
        <f t="shared" si="9"/>
        <v>709</v>
      </c>
      <c r="H64" s="233"/>
    </row>
    <row r="65" spans="1:8" s="112" customFormat="1" ht="12.75" x14ac:dyDescent="0.2">
      <c r="G65" s="184">
        <f>SUM(G54:G64)</f>
        <v>17157.8</v>
      </c>
    </row>
    <row r="66" spans="1:8" x14ac:dyDescent="0.2">
      <c r="A66" s="179"/>
      <c r="B66" s="180" t="s">
        <v>141</v>
      </c>
      <c r="C66" s="180" t="s">
        <v>142</v>
      </c>
      <c r="D66" s="177" t="s">
        <v>145</v>
      </c>
      <c r="E66" s="177" t="s">
        <v>146</v>
      </c>
      <c r="F66" s="177" t="s">
        <v>145</v>
      </c>
      <c r="G66" s="177" t="s">
        <v>138</v>
      </c>
    </row>
    <row r="67" spans="1:8" x14ac:dyDescent="0.2">
      <c r="A67" s="120" t="s">
        <v>65</v>
      </c>
      <c r="B67" s="121">
        <v>1</v>
      </c>
      <c r="C67" s="181">
        <f>20+5</f>
        <v>25</v>
      </c>
      <c r="D67" s="182">
        <v>10</v>
      </c>
      <c r="E67" s="177">
        <v>12.96</v>
      </c>
      <c r="F67" s="182">
        <v>10</v>
      </c>
      <c r="G67" s="183">
        <f>(B67*C67*(D67+E67+F67))</f>
        <v>824</v>
      </c>
      <c r="H67" s="233" t="s">
        <v>147</v>
      </c>
    </row>
    <row r="68" spans="1:8" x14ac:dyDescent="0.2">
      <c r="A68" s="120" t="s">
        <v>111</v>
      </c>
      <c r="B68" s="121">
        <v>1</v>
      </c>
      <c r="C68" s="181">
        <f t="shared" ref="C68:C73" si="10">20+5</f>
        <v>25</v>
      </c>
      <c r="D68" s="182">
        <v>10</v>
      </c>
      <c r="E68" s="177">
        <v>12.96</v>
      </c>
      <c r="F68" s="182">
        <v>10</v>
      </c>
      <c r="G68" s="183">
        <f t="shared" ref="G68:G73" si="11">(B68*C68*(D68+E68+F68))</f>
        <v>824</v>
      </c>
      <c r="H68" s="233"/>
    </row>
    <row r="69" spans="1:8" x14ac:dyDescent="0.2">
      <c r="A69" s="120" t="s">
        <v>68</v>
      </c>
      <c r="B69" s="121">
        <v>7</v>
      </c>
      <c r="C69" s="181">
        <f t="shared" si="10"/>
        <v>25</v>
      </c>
      <c r="D69" s="182">
        <v>10</v>
      </c>
      <c r="E69" s="177">
        <v>12.96</v>
      </c>
      <c r="F69" s="182">
        <v>10</v>
      </c>
      <c r="G69" s="183">
        <f t="shared" si="11"/>
        <v>5768</v>
      </c>
      <c r="H69" s="233"/>
    </row>
    <row r="70" spans="1:8" x14ac:dyDescent="0.2">
      <c r="A70" s="120" t="s">
        <v>69</v>
      </c>
      <c r="B70" s="121">
        <v>6</v>
      </c>
      <c r="C70" s="181">
        <f t="shared" si="10"/>
        <v>25</v>
      </c>
      <c r="D70" s="182">
        <v>10</v>
      </c>
      <c r="E70" s="177">
        <v>12.96</v>
      </c>
      <c r="F70" s="182">
        <v>10</v>
      </c>
      <c r="G70" s="183">
        <f t="shared" si="11"/>
        <v>4944</v>
      </c>
      <c r="H70" s="233"/>
    </row>
    <row r="71" spans="1:8" x14ac:dyDescent="0.2">
      <c r="A71" s="120" t="s">
        <v>70</v>
      </c>
      <c r="B71" s="121">
        <v>3</v>
      </c>
      <c r="C71" s="181">
        <f t="shared" si="10"/>
        <v>25</v>
      </c>
      <c r="D71" s="182">
        <v>10</v>
      </c>
      <c r="E71" s="177">
        <v>12.96</v>
      </c>
      <c r="F71" s="182">
        <v>10</v>
      </c>
      <c r="G71" s="183">
        <f t="shared" si="11"/>
        <v>2472</v>
      </c>
      <c r="H71" s="233"/>
    </row>
    <row r="72" spans="1:8" x14ac:dyDescent="0.2">
      <c r="A72" s="120" t="s">
        <v>71</v>
      </c>
      <c r="B72" s="121">
        <v>1</v>
      </c>
      <c r="C72" s="181">
        <f t="shared" si="10"/>
        <v>25</v>
      </c>
      <c r="D72" s="182">
        <v>10</v>
      </c>
      <c r="E72" s="177">
        <v>12.96</v>
      </c>
      <c r="F72" s="182">
        <v>10</v>
      </c>
      <c r="G72" s="183">
        <f t="shared" si="11"/>
        <v>824</v>
      </c>
      <c r="H72" s="233"/>
    </row>
    <row r="73" spans="1:8" x14ac:dyDescent="0.2">
      <c r="A73" s="120" t="s">
        <v>72</v>
      </c>
      <c r="B73" s="121">
        <v>1</v>
      </c>
      <c r="C73" s="181">
        <f t="shared" si="10"/>
        <v>25</v>
      </c>
      <c r="D73" s="182">
        <v>10</v>
      </c>
      <c r="E73" s="177">
        <v>12.96</v>
      </c>
      <c r="F73" s="182">
        <v>10</v>
      </c>
      <c r="G73" s="183">
        <f t="shared" si="11"/>
        <v>824</v>
      </c>
      <c r="H73" s="233"/>
    </row>
    <row r="74" spans="1:8" x14ac:dyDescent="0.2">
      <c r="G74" s="184">
        <f>SUM(G67:G73)</f>
        <v>16480</v>
      </c>
    </row>
    <row r="76" spans="1:8" x14ac:dyDescent="0.2">
      <c r="G76" s="185">
        <f>G65+G74</f>
        <v>33637.800000000003</v>
      </c>
    </row>
  </sheetData>
  <mergeCells count="7">
    <mergeCell ref="H67:H73"/>
    <mergeCell ref="A5:I5"/>
    <mergeCell ref="D26:H26"/>
    <mergeCell ref="D49:E49"/>
    <mergeCell ref="H49:I49"/>
    <mergeCell ref="H54:H64"/>
    <mergeCell ref="A51:G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H12" sqref="H12"/>
    </sheetView>
  </sheetViews>
  <sheetFormatPr defaultColWidth="7.85546875" defaultRowHeight="15" x14ac:dyDescent="0.2"/>
  <cols>
    <col min="1" max="1" width="26.42578125" style="106" customWidth="1"/>
    <col min="2" max="2" width="12.28515625" style="106" customWidth="1"/>
    <col min="3" max="3" width="14.85546875" style="106" customWidth="1"/>
    <col min="4" max="4" width="14.42578125" style="106" customWidth="1"/>
    <col min="5" max="6" width="15.140625" style="106" customWidth="1"/>
    <col min="7" max="7" width="16.42578125" style="106" bestFit="1" customWidth="1"/>
    <col min="8" max="8" width="13.7109375" style="106" customWidth="1"/>
    <col min="9" max="9" width="16.28515625" style="106" customWidth="1"/>
    <col min="10" max="251" width="7.85546875" style="106"/>
    <col min="252" max="252" width="26.42578125" style="106" customWidth="1"/>
    <col min="253" max="253" width="12.28515625" style="106" customWidth="1"/>
    <col min="254" max="254" width="14.85546875" style="106" customWidth="1"/>
    <col min="255" max="255" width="14.42578125" style="106" customWidth="1"/>
    <col min="256" max="258" width="15.140625" style="106" customWidth="1"/>
    <col min="259" max="259" width="13.7109375" style="106" customWidth="1"/>
    <col min="260" max="260" width="16.28515625" style="106" customWidth="1"/>
    <col min="261" max="264" width="7.85546875" style="106"/>
    <col min="265" max="265" width="14.7109375" style="106" bestFit="1" customWidth="1"/>
    <col min="266" max="507" width="7.85546875" style="106"/>
    <col min="508" max="508" width="26.42578125" style="106" customWidth="1"/>
    <col min="509" max="509" width="12.28515625" style="106" customWidth="1"/>
    <col min="510" max="510" width="14.85546875" style="106" customWidth="1"/>
    <col min="511" max="511" width="14.42578125" style="106" customWidth="1"/>
    <col min="512" max="514" width="15.140625" style="106" customWidth="1"/>
    <col min="515" max="515" width="13.7109375" style="106" customWidth="1"/>
    <col min="516" max="516" width="16.28515625" style="106" customWidth="1"/>
    <col min="517" max="520" width="7.85546875" style="106"/>
    <col min="521" max="521" width="14.7109375" style="106" bestFit="1" customWidth="1"/>
    <col min="522" max="763" width="7.85546875" style="106"/>
    <col min="764" max="764" width="26.42578125" style="106" customWidth="1"/>
    <col min="765" max="765" width="12.28515625" style="106" customWidth="1"/>
    <col min="766" max="766" width="14.85546875" style="106" customWidth="1"/>
    <col min="767" max="767" width="14.42578125" style="106" customWidth="1"/>
    <col min="768" max="770" width="15.140625" style="106" customWidth="1"/>
    <col min="771" max="771" width="13.7109375" style="106" customWidth="1"/>
    <col min="772" max="772" width="16.28515625" style="106" customWidth="1"/>
    <col min="773" max="776" width="7.85546875" style="106"/>
    <col min="777" max="777" width="14.7109375" style="106" bestFit="1" customWidth="1"/>
    <col min="778" max="1019" width="7.85546875" style="106"/>
    <col min="1020" max="1020" width="26.42578125" style="106" customWidth="1"/>
    <col min="1021" max="1021" width="12.28515625" style="106" customWidth="1"/>
    <col min="1022" max="1022" width="14.85546875" style="106" customWidth="1"/>
    <col min="1023" max="1023" width="14.42578125" style="106" customWidth="1"/>
    <col min="1024" max="1026" width="15.140625" style="106" customWidth="1"/>
    <col min="1027" max="1027" width="13.7109375" style="106" customWidth="1"/>
    <col min="1028" max="1028" width="16.28515625" style="106" customWidth="1"/>
    <col min="1029" max="1032" width="7.85546875" style="106"/>
    <col min="1033" max="1033" width="14.7109375" style="106" bestFit="1" customWidth="1"/>
    <col min="1034" max="1275" width="7.85546875" style="106"/>
    <col min="1276" max="1276" width="26.42578125" style="106" customWidth="1"/>
    <col min="1277" max="1277" width="12.28515625" style="106" customWidth="1"/>
    <col min="1278" max="1278" width="14.85546875" style="106" customWidth="1"/>
    <col min="1279" max="1279" width="14.42578125" style="106" customWidth="1"/>
    <col min="1280" max="1282" width="15.140625" style="106" customWidth="1"/>
    <col min="1283" max="1283" width="13.7109375" style="106" customWidth="1"/>
    <col min="1284" max="1284" width="16.28515625" style="106" customWidth="1"/>
    <col min="1285" max="1288" width="7.85546875" style="106"/>
    <col min="1289" max="1289" width="14.7109375" style="106" bestFit="1" customWidth="1"/>
    <col min="1290" max="1531" width="7.85546875" style="106"/>
    <col min="1532" max="1532" width="26.42578125" style="106" customWidth="1"/>
    <col min="1533" max="1533" width="12.28515625" style="106" customWidth="1"/>
    <col min="1534" max="1534" width="14.85546875" style="106" customWidth="1"/>
    <col min="1535" max="1535" width="14.42578125" style="106" customWidth="1"/>
    <col min="1536" max="1538" width="15.140625" style="106" customWidth="1"/>
    <col min="1539" max="1539" width="13.7109375" style="106" customWidth="1"/>
    <col min="1540" max="1540" width="16.28515625" style="106" customWidth="1"/>
    <col min="1541" max="1544" width="7.85546875" style="106"/>
    <col min="1545" max="1545" width="14.7109375" style="106" bestFit="1" customWidth="1"/>
    <col min="1546" max="1787" width="7.85546875" style="106"/>
    <col min="1788" max="1788" width="26.42578125" style="106" customWidth="1"/>
    <col min="1789" max="1789" width="12.28515625" style="106" customWidth="1"/>
    <col min="1790" max="1790" width="14.85546875" style="106" customWidth="1"/>
    <col min="1791" max="1791" width="14.42578125" style="106" customWidth="1"/>
    <col min="1792" max="1794" width="15.140625" style="106" customWidth="1"/>
    <col min="1795" max="1795" width="13.7109375" style="106" customWidth="1"/>
    <col min="1796" max="1796" width="16.28515625" style="106" customWidth="1"/>
    <col min="1797" max="1800" width="7.85546875" style="106"/>
    <col min="1801" max="1801" width="14.7109375" style="106" bestFit="1" customWidth="1"/>
    <col min="1802" max="2043" width="7.85546875" style="106"/>
    <col min="2044" max="2044" width="26.42578125" style="106" customWidth="1"/>
    <col min="2045" max="2045" width="12.28515625" style="106" customWidth="1"/>
    <col min="2046" max="2046" width="14.85546875" style="106" customWidth="1"/>
    <col min="2047" max="2047" width="14.42578125" style="106" customWidth="1"/>
    <col min="2048" max="2050" width="15.140625" style="106" customWidth="1"/>
    <col min="2051" max="2051" width="13.7109375" style="106" customWidth="1"/>
    <col min="2052" max="2052" width="16.28515625" style="106" customWidth="1"/>
    <col min="2053" max="2056" width="7.85546875" style="106"/>
    <col min="2057" max="2057" width="14.7109375" style="106" bestFit="1" customWidth="1"/>
    <col min="2058" max="2299" width="7.85546875" style="106"/>
    <col min="2300" max="2300" width="26.42578125" style="106" customWidth="1"/>
    <col min="2301" max="2301" width="12.28515625" style="106" customWidth="1"/>
    <col min="2302" max="2302" width="14.85546875" style="106" customWidth="1"/>
    <col min="2303" max="2303" width="14.42578125" style="106" customWidth="1"/>
    <col min="2304" max="2306" width="15.140625" style="106" customWidth="1"/>
    <col min="2307" max="2307" width="13.7109375" style="106" customWidth="1"/>
    <col min="2308" max="2308" width="16.28515625" style="106" customWidth="1"/>
    <col min="2309" max="2312" width="7.85546875" style="106"/>
    <col min="2313" max="2313" width="14.7109375" style="106" bestFit="1" customWidth="1"/>
    <col min="2314" max="2555" width="7.85546875" style="106"/>
    <col min="2556" max="2556" width="26.42578125" style="106" customWidth="1"/>
    <col min="2557" max="2557" width="12.28515625" style="106" customWidth="1"/>
    <col min="2558" max="2558" width="14.85546875" style="106" customWidth="1"/>
    <col min="2559" max="2559" width="14.42578125" style="106" customWidth="1"/>
    <col min="2560" max="2562" width="15.140625" style="106" customWidth="1"/>
    <col min="2563" max="2563" width="13.7109375" style="106" customWidth="1"/>
    <col min="2564" max="2564" width="16.28515625" style="106" customWidth="1"/>
    <col min="2565" max="2568" width="7.85546875" style="106"/>
    <col min="2569" max="2569" width="14.7109375" style="106" bestFit="1" customWidth="1"/>
    <col min="2570" max="2811" width="7.85546875" style="106"/>
    <col min="2812" max="2812" width="26.42578125" style="106" customWidth="1"/>
    <col min="2813" max="2813" width="12.28515625" style="106" customWidth="1"/>
    <col min="2814" max="2814" width="14.85546875" style="106" customWidth="1"/>
    <col min="2815" max="2815" width="14.42578125" style="106" customWidth="1"/>
    <col min="2816" max="2818" width="15.140625" style="106" customWidth="1"/>
    <col min="2819" max="2819" width="13.7109375" style="106" customWidth="1"/>
    <col min="2820" max="2820" width="16.28515625" style="106" customWidth="1"/>
    <col min="2821" max="2824" width="7.85546875" style="106"/>
    <col min="2825" max="2825" width="14.7109375" style="106" bestFit="1" customWidth="1"/>
    <col min="2826" max="3067" width="7.85546875" style="106"/>
    <col min="3068" max="3068" width="26.42578125" style="106" customWidth="1"/>
    <col min="3069" max="3069" width="12.28515625" style="106" customWidth="1"/>
    <col min="3070" max="3070" width="14.85546875" style="106" customWidth="1"/>
    <col min="3071" max="3071" width="14.42578125" style="106" customWidth="1"/>
    <col min="3072" max="3074" width="15.140625" style="106" customWidth="1"/>
    <col min="3075" max="3075" width="13.7109375" style="106" customWidth="1"/>
    <col min="3076" max="3076" width="16.28515625" style="106" customWidth="1"/>
    <col min="3077" max="3080" width="7.85546875" style="106"/>
    <col min="3081" max="3081" width="14.7109375" style="106" bestFit="1" customWidth="1"/>
    <col min="3082" max="3323" width="7.85546875" style="106"/>
    <col min="3324" max="3324" width="26.42578125" style="106" customWidth="1"/>
    <col min="3325" max="3325" width="12.28515625" style="106" customWidth="1"/>
    <col min="3326" max="3326" width="14.85546875" style="106" customWidth="1"/>
    <col min="3327" max="3327" width="14.42578125" style="106" customWidth="1"/>
    <col min="3328" max="3330" width="15.140625" style="106" customWidth="1"/>
    <col min="3331" max="3331" width="13.7109375" style="106" customWidth="1"/>
    <col min="3332" max="3332" width="16.28515625" style="106" customWidth="1"/>
    <col min="3333" max="3336" width="7.85546875" style="106"/>
    <col min="3337" max="3337" width="14.7109375" style="106" bestFit="1" customWidth="1"/>
    <col min="3338" max="3579" width="7.85546875" style="106"/>
    <col min="3580" max="3580" width="26.42578125" style="106" customWidth="1"/>
    <col min="3581" max="3581" width="12.28515625" style="106" customWidth="1"/>
    <col min="3582" max="3582" width="14.85546875" style="106" customWidth="1"/>
    <col min="3583" max="3583" width="14.42578125" style="106" customWidth="1"/>
    <col min="3584" max="3586" width="15.140625" style="106" customWidth="1"/>
    <col min="3587" max="3587" width="13.7109375" style="106" customWidth="1"/>
    <col min="3588" max="3588" width="16.28515625" style="106" customWidth="1"/>
    <col min="3589" max="3592" width="7.85546875" style="106"/>
    <col min="3593" max="3593" width="14.7109375" style="106" bestFit="1" customWidth="1"/>
    <col min="3594" max="3835" width="7.85546875" style="106"/>
    <col min="3836" max="3836" width="26.42578125" style="106" customWidth="1"/>
    <col min="3837" max="3837" width="12.28515625" style="106" customWidth="1"/>
    <col min="3838" max="3838" width="14.85546875" style="106" customWidth="1"/>
    <col min="3839" max="3839" width="14.42578125" style="106" customWidth="1"/>
    <col min="3840" max="3842" width="15.140625" style="106" customWidth="1"/>
    <col min="3843" max="3843" width="13.7109375" style="106" customWidth="1"/>
    <col min="3844" max="3844" width="16.28515625" style="106" customWidth="1"/>
    <col min="3845" max="3848" width="7.85546875" style="106"/>
    <col min="3849" max="3849" width="14.7109375" style="106" bestFit="1" customWidth="1"/>
    <col min="3850" max="4091" width="7.85546875" style="106"/>
    <col min="4092" max="4092" width="26.42578125" style="106" customWidth="1"/>
    <col min="4093" max="4093" width="12.28515625" style="106" customWidth="1"/>
    <col min="4094" max="4094" width="14.85546875" style="106" customWidth="1"/>
    <col min="4095" max="4095" width="14.42578125" style="106" customWidth="1"/>
    <col min="4096" max="4098" width="15.140625" style="106" customWidth="1"/>
    <col min="4099" max="4099" width="13.7109375" style="106" customWidth="1"/>
    <col min="4100" max="4100" width="16.28515625" style="106" customWidth="1"/>
    <col min="4101" max="4104" width="7.85546875" style="106"/>
    <col min="4105" max="4105" width="14.7109375" style="106" bestFit="1" customWidth="1"/>
    <col min="4106" max="4347" width="7.85546875" style="106"/>
    <col min="4348" max="4348" width="26.42578125" style="106" customWidth="1"/>
    <col min="4349" max="4349" width="12.28515625" style="106" customWidth="1"/>
    <col min="4350" max="4350" width="14.85546875" style="106" customWidth="1"/>
    <col min="4351" max="4351" width="14.42578125" style="106" customWidth="1"/>
    <col min="4352" max="4354" width="15.140625" style="106" customWidth="1"/>
    <col min="4355" max="4355" width="13.7109375" style="106" customWidth="1"/>
    <col min="4356" max="4356" width="16.28515625" style="106" customWidth="1"/>
    <col min="4357" max="4360" width="7.85546875" style="106"/>
    <col min="4361" max="4361" width="14.7109375" style="106" bestFit="1" customWidth="1"/>
    <col min="4362" max="4603" width="7.85546875" style="106"/>
    <col min="4604" max="4604" width="26.42578125" style="106" customWidth="1"/>
    <col min="4605" max="4605" width="12.28515625" style="106" customWidth="1"/>
    <col min="4606" max="4606" width="14.85546875" style="106" customWidth="1"/>
    <col min="4607" max="4607" width="14.42578125" style="106" customWidth="1"/>
    <col min="4608" max="4610" width="15.140625" style="106" customWidth="1"/>
    <col min="4611" max="4611" width="13.7109375" style="106" customWidth="1"/>
    <col min="4612" max="4612" width="16.28515625" style="106" customWidth="1"/>
    <col min="4613" max="4616" width="7.85546875" style="106"/>
    <col min="4617" max="4617" width="14.7109375" style="106" bestFit="1" customWidth="1"/>
    <col min="4618" max="4859" width="7.85546875" style="106"/>
    <col min="4860" max="4860" width="26.42578125" style="106" customWidth="1"/>
    <col min="4861" max="4861" width="12.28515625" style="106" customWidth="1"/>
    <col min="4862" max="4862" width="14.85546875" style="106" customWidth="1"/>
    <col min="4863" max="4863" width="14.42578125" style="106" customWidth="1"/>
    <col min="4864" max="4866" width="15.140625" style="106" customWidth="1"/>
    <col min="4867" max="4867" width="13.7109375" style="106" customWidth="1"/>
    <col min="4868" max="4868" width="16.28515625" style="106" customWidth="1"/>
    <col min="4869" max="4872" width="7.85546875" style="106"/>
    <col min="4873" max="4873" width="14.7109375" style="106" bestFit="1" customWidth="1"/>
    <col min="4874" max="5115" width="7.85546875" style="106"/>
    <col min="5116" max="5116" width="26.42578125" style="106" customWidth="1"/>
    <col min="5117" max="5117" width="12.28515625" style="106" customWidth="1"/>
    <col min="5118" max="5118" width="14.85546875" style="106" customWidth="1"/>
    <col min="5119" max="5119" width="14.42578125" style="106" customWidth="1"/>
    <col min="5120" max="5122" width="15.140625" style="106" customWidth="1"/>
    <col min="5123" max="5123" width="13.7109375" style="106" customWidth="1"/>
    <col min="5124" max="5124" width="16.28515625" style="106" customWidth="1"/>
    <col min="5125" max="5128" width="7.85546875" style="106"/>
    <col min="5129" max="5129" width="14.7109375" style="106" bestFit="1" customWidth="1"/>
    <col min="5130" max="5371" width="7.85546875" style="106"/>
    <col min="5372" max="5372" width="26.42578125" style="106" customWidth="1"/>
    <col min="5373" max="5373" width="12.28515625" style="106" customWidth="1"/>
    <col min="5374" max="5374" width="14.85546875" style="106" customWidth="1"/>
    <col min="5375" max="5375" width="14.42578125" style="106" customWidth="1"/>
    <col min="5376" max="5378" width="15.140625" style="106" customWidth="1"/>
    <col min="5379" max="5379" width="13.7109375" style="106" customWidth="1"/>
    <col min="5380" max="5380" width="16.28515625" style="106" customWidth="1"/>
    <col min="5381" max="5384" width="7.85546875" style="106"/>
    <col min="5385" max="5385" width="14.7109375" style="106" bestFit="1" customWidth="1"/>
    <col min="5386" max="5627" width="7.85546875" style="106"/>
    <col min="5628" max="5628" width="26.42578125" style="106" customWidth="1"/>
    <col min="5629" max="5629" width="12.28515625" style="106" customWidth="1"/>
    <col min="5630" max="5630" width="14.85546875" style="106" customWidth="1"/>
    <col min="5631" max="5631" width="14.42578125" style="106" customWidth="1"/>
    <col min="5632" max="5634" width="15.140625" style="106" customWidth="1"/>
    <col min="5635" max="5635" width="13.7109375" style="106" customWidth="1"/>
    <col min="5636" max="5636" width="16.28515625" style="106" customWidth="1"/>
    <col min="5637" max="5640" width="7.85546875" style="106"/>
    <col min="5641" max="5641" width="14.7109375" style="106" bestFit="1" customWidth="1"/>
    <col min="5642" max="5883" width="7.85546875" style="106"/>
    <col min="5884" max="5884" width="26.42578125" style="106" customWidth="1"/>
    <col min="5885" max="5885" width="12.28515625" style="106" customWidth="1"/>
    <col min="5886" max="5886" width="14.85546875" style="106" customWidth="1"/>
    <col min="5887" max="5887" width="14.42578125" style="106" customWidth="1"/>
    <col min="5888" max="5890" width="15.140625" style="106" customWidth="1"/>
    <col min="5891" max="5891" width="13.7109375" style="106" customWidth="1"/>
    <col min="5892" max="5892" width="16.28515625" style="106" customWidth="1"/>
    <col min="5893" max="5896" width="7.85546875" style="106"/>
    <col min="5897" max="5897" width="14.7109375" style="106" bestFit="1" customWidth="1"/>
    <col min="5898" max="6139" width="7.85546875" style="106"/>
    <col min="6140" max="6140" width="26.42578125" style="106" customWidth="1"/>
    <col min="6141" max="6141" width="12.28515625" style="106" customWidth="1"/>
    <col min="6142" max="6142" width="14.85546875" style="106" customWidth="1"/>
    <col min="6143" max="6143" width="14.42578125" style="106" customWidth="1"/>
    <col min="6144" max="6146" width="15.140625" style="106" customWidth="1"/>
    <col min="6147" max="6147" width="13.7109375" style="106" customWidth="1"/>
    <col min="6148" max="6148" width="16.28515625" style="106" customWidth="1"/>
    <col min="6149" max="6152" width="7.85546875" style="106"/>
    <col min="6153" max="6153" width="14.7109375" style="106" bestFit="1" customWidth="1"/>
    <col min="6154" max="6395" width="7.85546875" style="106"/>
    <col min="6396" max="6396" width="26.42578125" style="106" customWidth="1"/>
    <col min="6397" max="6397" width="12.28515625" style="106" customWidth="1"/>
    <col min="6398" max="6398" width="14.85546875" style="106" customWidth="1"/>
    <col min="6399" max="6399" width="14.42578125" style="106" customWidth="1"/>
    <col min="6400" max="6402" width="15.140625" style="106" customWidth="1"/>
    <col min="6403" max="6403" width="13.7109375" style="106" customWidth="1"/>
    <col min="6404" max="6404" width="16.28515625" style="106" customWidth="1"/>
    <col min="6405" max="6408" width="7.85546875" style="106"/>
    <col min="6409" max="6409" width="14.7109375" style="106" bestFit="1" customWidth="1"/>
    <col min="6410" max="6651" width="7.85546875" style="106"/>
    <col min="6652" max="6652" width="26.42578125" style="106" customWidth="1"/>
    <col min="6653" max="6653" width="12.28515625" style="106" customWidth="1"/>
    <col min="6654" max="6654" width="14.85546875" style="106" customWidth="1"/>
    <col min="6655" max="6655" width="14.42578125" style="106" customWidth="1"/>
    <col min="6656" max="6658" width="15.140625" style="106" customWidth="1"/>
    <col min="6659" max="6659" width="13.7109375" style="106" customWidth="1"/>
    <col min="6660" max="6660" width="16.28515625" style="106" customWidth="1"/>
    <col min="6661" max="6664" width="7.85546875" style="106"/>
    <col min="6665" max="6665" width="14.7109375" style="106" bestFit="1" customWidth="1"/>
    <col min="6666" max="6907" width="7.85546875" style="106"/>
    <col min="6908" max="6908" width="26.42578125" style="106" customWidth="1"/>
    <col min="6909" max="6909" width="12.28515625" style="106" customWidth="1"/>
    <col min="6910" max="6910" width="14.85546875" style="106" customWidth="1"/>
    <col min="6911" max="6911" width="14.42578125" style="106" customWidth="1"/>
    <col min="6912" max="6914" width="15.140625" style="106" customWidth="1"/>
    <col min="6915" max="6915" width="13.7109375" style="106" customWidth="1"/>
    <col min="6916" max="6916" width="16.28515625" style="106" customWidth="1"/>
    <col min="6917" max="6920" width="7.85546875" style="106"/>
    <col min="6921" max="6921" width="14.7109375" style="106" bestFit="1" customWidth="1"/>
    <col min="6922" max="7163" width="7.85546875" style="106"/>
    <col min="7164" max="7164" width="26.42578125" style="106" customWidth="1"/>
    <col min="7165" max="7165" width="12.28515625" style="106" customWidth="1"/>
    <col min="7166" max="7166" width="14.85546875" style="106" customWidth="1"/>
    <col min="7167" max="7167" width="14.42578125" style="106" customWidth="1"/>
    <col min="7168" max="7170" width="15.140625" style="106" customWidth="1"/>
    <col min="7171" max="7171" width="13.7109375" style="106" customWidth="1"/>
    <col min="7172" max="7172" width="16.28515625" style="106" customWidth="1"/>
    <col min="7173" max="7176" width="7.85546875" style="106"/>
    <col min="7177" max="7177" width="14.7109375" style="106" bestFit="1" customWidth="1"/>
    <col min="7178" max="7419" width="7.85546875" style="106"/>
    <col min="7420" max="7420" width="26.42578125" style="106" customWidth="1"/>
    <col min="7421" max="7421" width="12.28515625" style="106" customWidth="1"/>
    <col min="7422" max="7422" width="14.85546875" style="106" customWidth="1"/>
    <col min="7423" max="7423" width="14.42578125" style="106" customWidth="1"/>
    <col min="7424" max="7426" width="15.140625" style="106" customWidth="1"/>
    <col min="7427" max="7427" width="13.7109375" style="106" customWidth="1"/>
    <col min="7428" max="7428" width="16.28515625" style="106" customWidth="1"/>
    <col min="7429" max="7432" width="7.85546875" style="106"/>
    <col min="7433" max="7433" width="14.7109375" style="106" bestFit="1" customWidth="1"/>
    <col min="7434" max="7675" width="7.85546875" style="106"/>
    <col min="7676" max="7676" width="26.42578125" style="106" customWidth="1"/>
    <col min="7677" max="7677" width="12.28515625" style="106" customWidth="1"/>
    <col min="7678" max="7678" width="14.85546875" style="106" customWidth="1"/>
    <col min="7679" max="7679" width="14.42578125" style="106" customWidth="1"/>
    <col min="7680" max="7682" width="15.140625" style="106" customWidth="1"/>
    <col min="7683" max="7683" width="13.7109375" style="106" customWidth="1"/>
    <col min="7684" max="7684" width="16.28515625" style="106" customWidth="1"/>
    <col min="7685" max="7688" width="7.85546875" style="106"/>
    <col min="7689" max="7689" width="14.7109375" style="106" bestFit="1" customWidth="1"/>
    <col min="7690" max="7931" width="7.85546875" style="106"/>
    <col min="7932" max="7932" width="26.42578125" style="106" customWidth="1"/>
    <col min="7933" max="7933" width="12.28515625" style="106" customWidth="1"/>
    <col min="7934" max="7934" width="14.85546875" style="106" customWidth="1"/>
    <col min="7935" max="7935" width="14.42578125" style="106" customWidth="1"/>
    <col min="7936" max="7938" width="15.140625" style="106" customWidth="1"/>
    <col min="7939" max="7939" width="13.7109375" style="106" customWidth="1"/>
    <col min="7940" max="7940" width="16.28515625" style="106" customWidth="1"/>
    <col min="7941" max="7944" width="7.85546875" style="106"/>
    <col min="7945" max="7945" width="14.7109375" style="106" bestFit="1" customWidth="1"/>
    <col min="7946" max="8187" width="7.85546875" style="106"/>
    <col min="8188" max="8188" width="26.42578125" style="106" customWidth="1"/>
    <col min="8189" max="8189" width="12.28515625" style="106" customWidth="1"/>
    <col min="8190" max="8190" width="14.85546875" style="106" customWidth="1"/>
    <col min="8191" max="8191" width="14.42578125" style="106" customWidth="1"/>
    <col min="8192" max="8194" width="15.140625" style="106" customWidth="1"/>
    <col min="8195" max="8195" width="13.7109375" style="106" customWidth="1"/>
    <col min="8196" max="8196" width="16.28515625" style="106" customWidth="1"/>
    <col min="8197" max="8200" width="7.85546875" style="106"/>
    <col min="8201" max="8201" width="14.7109375" style="106" bestFit="1" customWidth="1"/>
    <col min="8202" max="8443" width="7.85546875" style="106"/>
    <col min="8444" max="8444" width="26.42578125" style="106" customWidth="1"/>
    <col min="8445" max="8445" width="12.28515625" style="106" customWidth="1"/>
    <col min="8446" max="8446" width="14.85546875" style="106" customWidth="1"/>
    <col min="8447" max="8447" width="14.42578125" style="106" customWidth="1"/>
    <col min="8448" max="8450" width="15.140625" style="106" customWidth="1"/>
    <col min="8451" max="8451" width="13.7109375" style="106" customWidth="1"/>
    <col min="8452" max="8452" width="16.28515625" style="106" customWidth="1"/>
    <col min="8453" max="8456" width="7.85546875" style="106"/>
    <col min="8457" max="8457" width="14.7109375" style="106" bestFit="1" customWidth="1"/>
    <col min="8458" max="8699" width="7.85546875" style="106"/>
    <col min="8700" max="8700" width="26.42578125" style="106" customWidth="1"/>
    <col min="8701" max="8701" width="12.28515625" style="106" customWidth="1"/>
    <col min="8702" max="8702" width="14.85546875" style="106" customWidth="1"/>
    <col min="8703" max="8703" width="14.42578125" style="106" customWidth="1"/>
    <col min="8704" max="8706" width="15.140625" style="106" customWidth="1"/>
    <col min="8707" max="8707" width="13.7109375" style="106" customWidth="1"/>
    <col min="8708" max="8708" width="16.28515625" style="106" customWidth="1"/>
    <col min="8709" max="8712" width="7.85546875" style="106"/>
    <col min="8713" max="8713" width="14.7109375" style="106" bestFit="1" customWidth="1"/>
    <col min="8714" max="8955" width="7.85546875" style="106"/>
    <col min="8956" max="8956" width="26.42578125" style="106" customWidth="1"/>
    <col min="8957" max="8957" width="12.28515625" style="106" customWidth="1"/>
    <col min="8958" max="8958" width="14.85546875" style="106" customWidth="1"/>
    <col min="8959" max="8959" width="14.42578125" style="106" customWidth="1"/>
    <col min="8960" max="8962" width="15.140625" style="106" customWidth="1"/>
    <col min="8963" max="8963" width="13.7109375" style="106" customWidth="1"/>
    <col min="8964" max="8964" width="16.28515625" style="106" customWidth="1"/>
    <col min="8965" max="8968" width="7.85546875" style="106"/>
    <col min="8969" max="8969" width="14.7109375" style="106" bestFit="1" customWidth="1"/>
    <col min="8970" max="9211" width="7.85546875" style="106"/>
    <col min="9212" max="9212" width="26.42578125" style="106" customWidth="1"/>
    <col min="9213" max="9213" width="12.28515625" style="106" customWidth="1"/>
    <col min="9214" max="9214" width="14.85546875" style="106" customWidth="1"/>
    <col min="9215" max="9215" width="14.42578125" style="106" customWidth="1"/>
    <col min="9216" max="9218" width="15.140625" style="106" customWidth="1"/>
    <col min="9219" max="9219" width="13.7109375" style="106" customWidth="1"/>
    <col min="9220" max="9220" width="16.28515625" style="106" customWidth="1"/>
    <col min="9221" max="9224" width="7.85546875" style="106"/>
    <col min="9225" max="9225" width="14.7109375" style="106" bestFit="1" customWidth="1"/>
    <col min="9226" max="9467" width="7.85546875" style="106"/>
    <col min="9468" max="9468" width="26.42578125" style="106" customWidth="1"/>
    <col min="9469" max="9469" width="12.28515625" style="106" customWidth="1"/>
    <col min="9470" max="9470" width="14.85546875" style="106" customWidth="1"/>
    <col min="9471" max="9471" width="14.42578125" style="106" customWidth="1"/>
    <col min="9472" max="9474" width="15.140625" style="106" customWidth="1"/>
    <col min="9475" max="9475" width="13.7109375" style="106" customWidth="1"/>
    <col min="9476" max="9476" width="16.28515625" style="106" customWidth="1"/>
    <col min="9477" max="9480" width="7.85546875" style="106"/>
    <col min="9481" max="9481" width="14.7109375" style="106" bestFit="1" customWidth="1"/>
    <col min="9482" max="9723" width="7.85546875" style="106"/>
    <col min="9724" max="9724" width="26.42578125" style="106" customWidth="1"/>
    <col min="9725" max="9725" width="12.28515625" style="106" customWidth="1"/>
    <col min="9726" max="9726" width="14.85546875" style="106" customWidth="1"/>
    <col min="9727" max="9727" width="14.42578125" style="106" customWidth="1"/>
    <col min="9728" max="9730" width="15.140625" style="106" customWidth="1"/>
    <col min="9731" max="9731" width="13.7109375" style="106" customWidth="1"/>
    <col min="9732" max="9732" width="16.28515625" style="106" customWidth="1"/>
    <col min="9733" max="9736" width="7.85546875" style="106"/>
    <col min="9737" max="9737" width="14.7109375" style="106" bestFit="1" customWidth="1"/>
    <col min="9738" max="9979" width="7.85546875" style="106"/>
    <col min="9980" max="9980" width="26.42578125" style="106" customWidth="1"/>
    <col min="9981" max="9981" width="12.28515625" style="106" customWidth="1"/>
    <col min="9982" max="9982" width="14.85546875" style="106" customWidth="1"/>
    <col min="9983" max="9983" width="14.42578125" style="106" customWidth="1"/>
    <col min="9984" max="9986" width="15.140625" style="106" customWidth="1"/>
    <col min="9987" max="9987" width="13.7109375" style="106" customWidth="1"/>
    <col min="9988" max="9988" width="16.28515625" style="106" customWidth="1"/>
    <col min="9989" max="9992" width="7.85546875" style="106"/>
    <col min="9993" max="9993" width="14.7109375" style="106" bestFit="1" customWidth="1"/>
    <col min="9994" max="10235" width="7.85546875" style="106"/>
    <col min="10236" max="10236" width="26.42578125" style="106" customWidth="1"/>
    <col min="10237" max="10237" width="12.28515625" style="106" customWidth="1"/>
    <col min="10238" max="10238" width="14.85546875" style="106" customWidth="1"/>
    <col min="10239" max="10239" width="14.42578125" style="106" customWidth="1"/>
    <col min="10240" max="10242" width="15.140625" style="106" customWidth="1"/>
    <col min="10243" max="10243" width="13.7109375" style="106" customWidth="1"/>
    <col min="10244" max="10244" width="16.28515625" style="106" customWidth="1"/>
    <col min="10245" max="10248" width="7.85546875" style="106"/>
    <col min="10249" max="10249" width="14.7109375" style="106" bestFit="1" customWidth="1"/>
    <col min="10250" max="10491" width="7.85546875" style="106"/>
    <col min="10492" max="10492" width="26.42578125" style="106" customWidth="1"/>
    <col min="10493" max="10493" width="12.28515625" style="106" customWidth="1"/>
    <col min="10494" max="10494" width="14.85546875" style="106" customWidth="1"/>
    <col min="10495" max="10495" width="14.42578125" style="106" customWidth="1"/>
    <col min="10496" max="10498" width="15.140625" style="106" customWidth="1"/>
    <col min="10499" max="10499" width="13.7109375" style="106" customWidth="1"/>
    <col min="10500" max="10500" width="16.28515625" style="106" customWidth="1"/>
    <col min="10501" max="10504" width="7.85546875" style="106"/>
    <col min="10505" max="10505" width="14.7109375" style="106" bestFit="1" customWidth="1"/>
    <col min="10506" max="10747" width="7.85546875" style="106"/>
    <col min="10748" max="10748" width="26.42578125" style="106" customWidth="1"/>
    <col min="10749" max="10749" width="12.28515625" style="106" customWidth="1"/>
    <col min="10750" max="10750" width="14.85546875" style="106" customWidth="1"/>
    <col min="10751" max="10751" width="14.42578125" style="106" customWidth="1"/>
    <col min="10752" max="10754" width="15.140625" style="106" customWidth="1"/>
    <col min="10755" max="10755" width="13.7109375" style="106" customWidth="1"/>
    <col min="10756" max="10756" width="16.28515625" style="106" customWidth="1"/>
    <col min="10757" max="10760" width="7.85546875" style="106"/>
    <col min="10761" max="10761" width="14.7109375" style="106" bestFit="1" customWidth="1"/>
    <col min="10762" max="11003" width="7.85546875" style="106"/>
    <col min="11004" max="11004" width="26.42578125" style="106" customWidth="1"/>
    <col min="11005" max="11005" width="12.28515625" style="106" customWidth="1"/>
    <col min="11006" max="11006" width="14.85546875" style="106" customWidth="1"/>
    <col min="11007" max="11007" width="14.42578125" style="106" customWidth="1"/>
    <col min="11008" max="11010" width="15.140625" style="106" customWidth="1"/>
    <col min="11011" max="11011" width="13.7109375" style="106" customWidth="1"/>
    <col min="11012" max="11012" width="16.28515625" style="106" customWidth="1"/>
    <col min="11013" max="11016" width="7.85546875" style="106"/>
    <col min="11017" max="11017" width="14.7109375" style="106" bestFit="1" customWidth="1"/>
    <col min="11018" max="11259" width="7.85546875" style="106"/>
    <col min="11260" max="11260" width="26.42578125" style="106" customWidth="1"/>
    <col min="11261" max="11261" width="12.28515625" style="106" customWidth="1"/>
    <col min="11262" max="11262" width="14.85546875" style="106" customWidth="1"/>
    <col min="11263" max="11263" width="14.42578125" style="106" customWidth="1"/>
    <col min="11264" max="11266" width="15.140625" style="106" customWidth="1"/>
    <col min="11267" max="11267" width="13.7109375" style="106" customWidth="1"/>
    <col min="11268" max="11268" width="16.28515625" style="106" customWidth="1"/>
    <col min="11269" max="11272" width="7.85546875" style="106"/>
    <col min="11273" max="11273" width="14.7109375" style="106" bestFit="1" customWidth="1"/>
    <col min="11274" max="11515" width="7.85546875" style="106"/>
    <col min="11516" max="11516" width="26.42578125" style="106" customWidth="1"/>
    <col min="11517" max="11517" width="12.28515625" style="106" customWidth="1"/>
    <col min="11518" max="11518" width="14.85546875" style="106" customWidth="1"/>
    <col min="11519" max="11519" width="14.42578125" style="106" customWidth="1"/>
    <col min="11520" max="11522" width="15.140625" style="106" customWidth="1"/>
    <col min="11523" max="11523" width="13.7109375" style="106" customWidth="1"/>
    <col min="11524" max="11524" width="16.28515625" style="106" customWidth="1"/>
    <col min="11525" max="11528" width="7.85546875" style="106"/>
    <col min="11529" max="11529" width="14.7109375" style="106" bestFit="1" customWidth="1"/>
    <col min="11530" max="11771" width="7.85546875" style="106"/>
    <col min="11772" max="11772" width="26.42578125" style="106" customWidth="1"/>
    <col min="11773" max="11773" width="12.28515625" style="106" customWidth="1"/>
    <col min="11774" max="11774" width="14.85546875" style="106" customWidth="1"/>
    <col min="11775" max="11775" width="14.42578125" style="106" customWidth="1"/>
    <col min="11776" max="11778" width="15.140625" style="106" customWidth="1"/>
    <col min="11779" max="11779" width="13.7109375" style="106" customWidth="1"/>
    <col min="11780" max="11780" width="16.28515625" style="106" customWidth="1"/>
    <col min="11781" max="11784" width="7.85546875" style="106"/>
    <col min="11785" max="11785" width="14.7109375" style="106" bestFit="1" customWidth="1"/>
    <col min="11786" max="12027" width="7.85546875" style="106"/>
    <col min="12028" max="12028" width="26.42578125" style="106" customWidth="1"/>
    <col min="12029" max="12029" width="12.28515625" style="106" customWidth="1"/>
    <col min="12030" max="12030" width="14.85546875" style="106" customWidth="1"/>
    <col min="12031" max="12031" width="14.42578125" style="106" customWidth="1"/>
    <col min="12032" max="12034" width="15.140625" style="106" customWidth="1"/>
    <col min="12035" max="12035" width="13.7109375" style="106" customWidth="1"/>
    <col min="12036" max="12036" width="16.28515625" style="106" customWidth="1"/>
    <col min="12037" max="12040" width="7.85546875" style="106"/>
    <col min="12041" max="12041" width="14.7109375" style="106" bestFit="1" customWidth="1"/>
    <col min="12042" max="12283" width="7.85546875" style="106"/>
    <col min="12284" max="12284" width="26.42578125" style="106" customWidth="1"/>
    <col min="12285" max="12285" width="12.28515625" style="106" customWidth="1"/>
    <col min="12286" max="12286" width="14.85546875" style="106" customWidth="1"/>
    <col min="12287" max="12287" width="14.42578125" style="106" customWidth="1"/>
    <col min="12288" max="12290" width="15.140625" style="106" customWidth="1"/>
    <col min="12291" max="12291" width="13.7109375" style="106" customWidth="1"/>
    <col min="12292" max="12292" width="16.28515625" style="106" customWidth="1"/>
    <col min="12293" max="12296" width="7.85546875" style="106"/>
    <col min="12297" max="12297" width="14.7109375" style="106" bestFit="1" customWidth="1"/>
    <col min="12298" max="12539" width="7.85546875" style="106"/>
    <col min="12540" max="12540" width="26.42578125" style="106" customWidth="1"/>
    <col min="12541" max="12541" width="12.28515625" style="106" customWidth="1"/>
    <col min="12542" max="12542" width="14.85546875" style="106" customWidth="1"/>
    <col min="12543" max="12543" width="14.42578125" style="106" customWidth="1"/>
    <col min="12544" max="12546" width="15.140625" style="106" customWidth="1"/>
    <col min="12547" max="12547" width="13.7109375" style="106" customWidth="1"/>
    <col min="12548" max="12548" width="16.28515625" style="106" customWidth="1"/>
    <col min="12549" max="12552" width="7.85546875" style="106"/>
    <col min="12553" max="12553" width="14.7109375" style="106" bestFit="1" customWidth="1"/>
    <col min="12554" max="12795" width="7.85546875" style="106"/>
    <col min="12796" max="12796" width="26.42578125" style="106" customWidth="1"/>
    <col min="12797" max="12797" width="12.28515625" style="106" customWidth="1"/>
    <col min="12798" max="12798" width="14.85546875" style="106" customWidth="1"/>
    <col min="12799" max="12799" width="14.42578125" style="106" customWidth="1"/>
    <col min="12800" max="12802" width="15.140625" style="106" customWidth="1"/>
    <col min="12803" max="12803" width="13.7109375" style="106" customWidth="1"/>
    <col min="12804" max="12804" width="16.28515625" style="106" customWidth="1"/>
    <col min="12805" max="12808" width="7.85546875" style="106"/>
    <col min="12809" max="12809" width="14.7109375" style="106" bestFit="1" customWidth="1"/>
    <col min="12810" max="13051" width="7.85546875" style="106"/>
    <col min="13052" max="13052" width="26.42578125" style="106" customWidth="1"/>
    <col min="13053" max="13053" width="12.28515625" style="106" customWidth="1"/>
    <col min="13054" max="13054" width="14.85546875" style="106" customWidth="1"/>
    <col min="13055" max="13055" width="14.42578125" style="106" customWidth="1"/>
    <col min="13056" max="13058" width="15.140625" style="106" customWidth="1"/>
    <col min="13059" max="13059" width="13.7109375" style="106" customWidth="1"/>
    <col min="13060" max="13060" width="16.28515625" style="106" customWidth="1"/>
    <col min="13061" max="13064" width="7.85546875" style="106"/>
    <col min="13065" max="13065" width="14.7109375" style="106" bestFit="1" customWidth="1"/>
    <col min="13066" max="13307" width="7.85546875" style="106"/>
    <col min="13308" max="13308" width="26.42578125" style="106" customWidth="1"/>
    <col min="13309" max="13309" width="12.28515625" style="106" customWidth="1"/>
    <col min="13310" max="13310" width="14.85546875" style="106" customWidth="1"/>
    <col min="13311" max="13311" width="14.42578125" style="106" customWidth="1"/>
    <col min="13312" max="13314" width="15.140625" style="106" customWidth="1"/>
    <col min="13315" max="13315" width="13.7109375" style="106" customWidth="1"/>
    <col min="13316" max="13316" width="16.28515625" style="106" customWidth="1"/>
    <col min="13317" max="13320" width="7.85546875" style="106"/>
    <col min="13321" max="13321" width="14.7109375" style="106" bestFit="1" customWidth="1"/>
    <col min="13322" max="13563" width="7.85546875" style="106"/>
    <col min="13564" max="13564" width="26.42578125" style="106" customWidth="1"/>
    <col min="13565" max="13565" width="12.28515625" style="106" customWidth="1"/>
    <col min="13566" max="13566" width="14.85546875" style="106" customWidth="1"/>
    <col min="13567" max="13567" width="14.42578125" style="106" customWidth="1"/>
    <col min="13568" max="13570" width="15.140625" style="106" customWidth="1"/>
    <col min="13571" max="13571" width="13.7109375" style="106" customWidth="1"/>
    <col min="13572" max="13572" width="16.28515625" style="106" customWidth="1"/>
    <col min="13573" max="13576" width="7.85546875" style="106"/>
    <col min="13577" max="13577" width="14.7109375" style="106" bestFit="1" customWidth="1"/>
    <col min="13578" max="13819" width="7.85546875" style="106"/>
    <col min="13820" max="13820" width="26.42578125" style="106" customWidth="1"/>
    <col min="13821" max="13821" width="12.28515625" style="106" customWidth="1"/>
    <col min="13822" max="13822" width="14.85546875" style="106" customWidth="1"/>
    <col min="13823" max="13823" width="14.42578125" style="106" customWidth="1"/>
    <col min="13824" max="13826" width="15.140625" style="106" customWidth="1"/>
    <col min="13827" max="13827" width="13.7109375" style="106" customWidth="1"/>
    <col min="13828" max="13828" width="16.28515625" style="106" customWidth="1"/>
    <col min="13829" max="13832" width="7.85546875" style="106"/>
    <col min="13833" max="13833" width="14.7109375" style="106" bestFit="1" customWidth="1"/>
    <col min="13834" max="14075" width="7.85546875" style="106"/>
    <col min="14076" max="14076" width="26.42578125" style="106" customWidth="1"/>
    <col min="14077" max="14077" width="12.28515625" style="106" customWidth="1"/>
    <col min="14078" max="14078" width="14.85546875" style="106" customWidth="1"/>
    <col min="14079" max="14079" width="14.42578125" style="106" customWidth="1"/>
    <col min="14080" max="14082" width="15.140625" style="106" customWidth="1"/>
    <col min="14083" max="14083" width="13.7109375" style="106" customWidth="1"/>
    <col min="14084" max="14084" width="16.28515625" style="106" customWidth="1"/>
    <col min="14085" max="14088" width="7.85546875" style="106"/>
    <col min="14089" max="14089" width="14.7109375" style="106" bestFit="1" customWidth="1"/>
    <col min="14090" max="14331" width="7.85546875" style="106"/>
    <col min="14332" max="14332" width="26.42578125" style="106" customWidth="1"/>
    <col min="14333" max="14333" width="12.28515625" style="106" customWidth="1"/>
    <col min="14334" max="14334" width="14.85546875" style="106" customWidth="1"/>
    <col min="14335" max="14335" width="14.42578125" style="106" customWidth="1"/>
    <col min="14336" max="14338" width="15.140625" style="106" customWidth="1"/>
    <col min="14339" max="14339" width="13.7109375" style="106" customWidth="1"/>
    <col min="14340" max="14340" width="16.28515625" style="106" customWidth="1"/>
    <col min="14341" max="14344" width="7.85546875" style="106"/>
    <col min="14345" max="14345" width="14.7109375" style="106" bestFit="1" customWidth="1"/>
    <col min="14346" max="14587" width="7.85546875" style="106"/>
    <col min="14588" max="14588" width="26.42578125" style="106" customWidth="1"/>
    <col min="14589" max="14589" width="12.28515625" style="106" customWidth="1"/>
    <col min="14590" max="14590" width="14.85546875" style="106" customWidth="1"/>
    <col min="14591" max="14591" width="14.42578125" style="106" customWidth="1"/>
    <col min="14592" max="14594" width="15.140625" style="106" customWidth="1"/>
    <col min="14595" max="14595" width="13.7109375" style="106" customWidth="1"/>
    <col min="14596" max="14596" width="16.28515625" style="106" customWidth="1"/>
    <col min="14597" max="14600" width="7.85546875" style="106"/>
    <col min="14601" max="14601" width="14.7109375" style="106" bestFit="1" customWidth="1"/>
    <col min="14602" max="14843" width="7.85546875" style="106"/>
    <col min="14844" max="14844" width="26.42578125" style="106" customWidth="1"/>
    <col min="14845" max="14845" width="12.28515625" style="106" customWidth="1"/>
    <col min="14846" max="14846" width="14.85546875" style="106" customWidth="1"/>
    <col min="14847" max="14847" width="14.42578125" style="106" customWidth="1"/>
    <col min="14848" max="14850" width="15.140625" style="106" customWidth="1"/>
    <col min="14851" max="14851" width="13.7109375" style="106" customWidth="1"/>
    <col min="14852" max="14852" width="16.28515625" style="106" customWidth="1"/>
    <col min="14853" max="14856" width="7.85546875" style="106"/>
    <col min="14857" max="14857" width="14.7109375" style="106" bestFit="1" customWidth="1"/>
    <col min="14858" max="15099" width="7.85546875" style="106"/>
    <col min="15100" max="15100" width="26.42578125" style="106" customWidth="1"/>
    <col min="15101" max="15101" width="12.28515625" style="106" customWidth="1"/>
    <col min="15102" max="15102" width="14.85546875" style="106" customWidth="1"/>
    <col min="15103" max="15103" width="14.42578125" style="106" customWidth="1"/>
    <col min="15104" max="15106" width="15.140625" style="106" customWidth="1"/>
    <col min="15107" max="15107" width="13.7109375" style="106" customWidth="1"/>
    <col min="15108" max="15108" width="16.28515625" style="106" customWidth="1"/>
    <col min="15109" max="15112" width="7.85546875" style="106"/>
    <col min="15113" max="15113" width="14.7109375" style="106" bestFit="1" customWidth="1"/>
    <col min="15114" max="15355" width="7.85546875" style="106"/>
    <col min="15356" max="15356" width="26.42578125" style="106" customWidth="1"/>
    <col min="15357" max="15357" width="12.28515625" style="106" customWidth="1"/>
    <col min="15358" max="15358" width="14.85546875" style="106" customWidth="1"/>
    <col min="15359" max="15359" width="14.42578125" style="106" customWidth="1"/>
    <col min="15360" max="15362" width="15.140625" style="106" customWidth="1"/>
    <col min="15363" max="15363" width="13.7109375" style="106" customWidth="1"/>
    <col min="15364" max="15364" width="16.28515625" style="106" customWidth="1"/>
    <col min="15365" max="15368" width="7.85546875" style="106"/>
    <col min="15369" max="15369" width="14.7109375" style="106" bestFit="1" customWidth="1"/>
    <col min="15370" max="15611" width="7.85546875" style="106"/>
    <col min="15612" max="15612" width="26.42578125" style="106" customWidth="1"/>
    <col min="15613" max="15613" width="12.28515625" style="106" customWidth="1"/>
    <col min="15614" max="15614" width="14.85546875" style="106" customWidth="1"/>
    <col min="15615" max="15615" width="14.42578125" style="106" customWidth="1"/>
    <col min="15616" max="15618" width="15.140625" style="106" customWidth="1"/>
    <col min="15619" max="15619" width="13.7109375" style="106" customWidth="1"/>
    <col min="15620" max="15620" width="16.28515625" style="106" customWidth="1"/>
    <col min="15621" max="15624" width="7.85546875" style="106"/>
    <col min="15625" max="15625" width="14.7109375" style="106" bestFit="1" customWidth="1"/>
    <col min="15626" max="15867" width="7.85546875" style="106"/>
    <col min="15868" max="15868" width="26.42578125" style="106" customWidth="1"/>
    <col min="15869" max="15869" width="12.28515625" style="106" customWidth="1"/>
    <col min="15870" max="15870" width="14.85546875" style="106" customWidth="1"/>
    <col min="15871" max="15871" width="14.42578125" style="106" customWidth="1"/>
    <col min="15872" max="15874" width="15.140625" style="106" customWidth="1"/>
    <col min="15875" max="15875" width="13.7109375" style="106" customWidth="1"/>
    <col min="15876" max="15876" width="16.28515625" style="106" customWidth="1"/>
    <col min="15877" max="15880" width="7.85546875" style="106"/>
    <col min="15881" max="15881" width="14.7109375" style="106" bestFit="1" customWidth="1"/>
    <col min="15882" max="16123" width="7.85546875" style="106"/>
    <col min="16124" max="16124" width="26.42578125" style="106" customWidth="1"/>
    <col min="16125" max="16125" width="12.28515625" style="106" customWidth="1"/>
    <col min="16126" max="16126" width="14.85546875" style="106" customWidth="1"/>
    <col min="16127" max="16127" width="14.42578125" style="106" customWidth="1"/>
    <col min="16128" max="16130" width="15.140625" style="106" customWidth="1"/>
    <col min="16131" max="16131" width="13.7109375" style="106" customWidth="1"/>
    <col min="16132" max="16132" width="16.28515625" style="106" customWidth="1"/>
    <col min="16133" max="16136" width="7.85546875" style="106"/>
    <col min="16137" max="16137" width="14.7109375" style="106" bestFit="1" customWidth="1"/>
    <col min="16138" max="16384" width="7.85546875" style="106"/>
  </cols>
  <sheetData>
    <row r="1" spans="1:9" x14ac:dyDescent="0.2">
      <c r="F1" s="106" t="s">
        <v>140</v>
      </c>
    </row>
    <row r="5" spans="1:9" ht="15.75" customHeight="1" x14ac:dyDescent="0.25">
      <c r="A5" s="234" t="s">
        <v>99</v>
      </c>
      <c r="B5" s="234"/>
      <c r="C5" s="234"/>
      <c r="D5" s="234"/>
      <c r="E5" s="234"/>
      <c r="F5" s="234"/>
      <c r="G5" s="234"/>
      <c r="H5" s="234"/>
      <c r="I5" s="234"/>
    </row>
    <row r="6" spans="1:9" s="110" customFormat="1" ht="21.75" customHeight="1" x14ac:dyDescent="0.35">
      <c r="A6" s="107" t="s">
        <v>0</v>
      </c>
      <c r="B6" s="108"/>
      <c r="C6" s="109"/>
      <c r="D6" s="109"/>
      <c r="E6" s="109"/>
      <c r="F6" s="109"/>
      <c r="G6" s="109"/>
      <c r="H6" s="109"/>
      <c r="I6" s="109"/>
    </row>
    <row r="7" spans="1:9" s="112" customFormat="1" ht="15.75" x14ac:dyDescent="0.25">
      <c r="A7" s="111" t="s">
        <v>100</v>
      </c>
    </row>
    <row r="8" spans="1:9" s="114" customFormat="1" ht="25.5" customHeight="1" x14ac:dyDescent="0.2">
      <c r="A8" s="113" t="s">
        <v>3</v>
      </c>
      <c r="B8" s="113" t="s">
        <v>101</v>
      </c>
      <c r="C8" s="113" t="s">
        <v>102</v>
      </c>
      <c r="D8" s="113" t="s">
        <v>103</v>
      </c>
      <c r="E8" s="113" t="s">
        <v>104</v>
      </c>
      <c r="F8" s="113" t="s">
        <v>105</v>
      </c>
      <c r="G8" s="113" t="s">
        <v>106</v>
      </c>
      <c r="H8" s="113" t="s">
        <v>107</v>
      </c>
      <c r="I8" s="113" t="s">
        <v>108</v>
      </c>
    </row>
    <row r="9" spans="1:9" customFormat="1" ht="17.25" customHeight="1" x14ac:dyDescent="0.25">
      <c r="A9" s="115" t="s">
        <v>109</v>
      </c>
      <c r="B9" s="116"/>
      <c r="C9" s="117"/>
      <c r="D9" s="118"/>
      <c r="E9" s="118"/>
      <c r="F9" s="118"/>
      <c r="G9" s="118"/>
      <c r="H9" s="118"/>
      <c r="I9" s="119"/>
    </row>
    <row r="10" spans="1:9" customFormat="1" ht="12.95" customHeight="1" x14ac:dyDescent="0.25">
      <c r="A10" s="125" t="s">
        <v>112</v>
      </c>
      <c r="B10" s="121"/>
      <c r="C10" s="124"/>
      <c r="D10" s="122"/>
      <c r="E10" s="123"/>
      <c r="F10" s="123"/>
      <c r="G10" s="123"/>
      <c r="H10" s="123"/>
      <c r="I10" s="126"/>
    </row>
    <row r="11" spans="1:9" customFormat="1" ht="12.95" customHeight="1" x14ac:dyDescent="0.25">
      <c r="A11" s="120" t="s">
        <v>68</v>
      </c>
      <c r="B11" s="121">
        <v>1</v>
      </c>
      <c r="C11" s="195">
        <v>10.39</v>
      </c>
      <c r="D11" s="122">
        <v>8</v>
      </c>
      <c r="E11" s="123">
        <v>0</v>
      </c>
      <c r="F11" s="123">
        <v>0</v>
      </c>
      <c r="G11" s="123">
        <v>0</v>
      </c>
      <c r="H11" s="123">
        <f>C11*(5*8)*B11</f>
        <v>415.6</v>
      </c>
      <c r="I11" s="178">
        <f>E11+F11+G11+H11</f>
        <v>415.6</v>
      </c>
    </row>
    <row r="12" spans="1:9" customFormat="1" ht="12.95" customHeight="1" x14ac:dyDescent="0.25">
      <c r="A12" s="120" t="s">
        <v>69</v>
      </c>
      <c r="B12" s="121">
        <v>6</v>
      </c>
      <c r="C12" s="195">
        <v>5.7</v>
      </c>
      <c r="D12" s="122">
        <v>8</v>
      </c>
      <c r="E12" s="123">
        <v>0</v>
      </c>
      <c r="F12" s="123">
        <v>0</v>
      </c>
      <c r="G12" s="123">
        <v>0</v>
      </c>
      <c r="H12" s="123">
        <f>C12*(5*8)*B12</f>
        <v>1368</v>
      </c>
      <c r="I12" s="178">
        <f>E12+F12+G12+H12</f>
        <v>1368</v>
      </c>
    </row>
    <row r="13" spans="1:9" customFormat="1" ht="12.95" customHeight="1" x14ac:dyDescent="0.25">
      <c r="A13" s="127"/>
      <c r="B13" s="121"/>
      <c r="C13" s="128"/>
      <c r="D13" s="122"/>
      <c r="E13" s="122"/>
      <c r="F13" s="122"/>
      <c r="G13" s="122"/>
      <c r="H13" s="129"/>
      <c r="I13" s="130"/>
    </row>
    <row r="14" spans="1:9" customFormat="1" ht="12.95" customHeight="1" x14ac:dyDescent="0.25">
      <c r="A14" s="125"/>
      <c r="B14" s="131"/>
      <c r="C14" s="128"/>
      <c r="D14" s="122"/>
      <c r="E14" s="122"/>
      <c r="F14" s="122"/>
      <c r="G14" s="122"/>
      <c r="H14" s="122"/>
      <c r="I14" s="132"/>
    </row>
    <row r="15" spans="1:9" customFormat="1" ht="12.95" customHeight="1" x14ac:dyDescent="0.25">
      <c r="A15" s="133"/>
      <c r="B15" s="134"/>
      <c r="C15" s="128"/>
      <c r="D15" s="122"/>
      <c r="E15" s="135"/>
      <c r="F15" s="135"/>
      <c r="G15" s="135"/>
      <c r="H15" s="129"/>
      <c r="I15" s="130"/>
    </row>
    <row r="16" spans="1:9" customFormat="1" ht="14.1" customHeight="1" x14ac:dyDescent="0.25">
      <c r="A16" s="136" t="s">
        <v>154</v>
      </c>
      <c r="B16" s="137"/>
      <c r="C16" s="138"/>
      <c r="D16" s="139"/>
      <c r="E16" s="139"/>
      <c r="F16" s="139"/>
      <c r="G16" s="139"/>
      <c r="H16" s="139"/>
      <c r="I16" s="140"/>
    </row>
    <row r="17" spans="1:9" s="112" customFormat="1" ht="14.25" customHeight="1" x14ac:dyDescent="0.2">
      <c r="C17" s="141"/>
      <c r="D17" s="235" t="s">
        <v>113</v>
      </c>
      <c r="E17" s="236"/>
      <c r="F17" s="236"/>
      <c r="G17" s="236"/>
      <c r="H17" s="237"/>
      <c r="I17" s="142">
        <f>SUM(I10:I15)</f>
        <v>1783.6</v>
      </c>
    </row>
    <row r="18" spans="1:9" s="112" customFormat="1" ht="17.25" customHeight="1" x14ac:dyDescent="0.25">
      <c r="A18" s="111" t="s">
        <v>114</v>
      </c>
    </row>
    <row r="19" spans="1:9" s="112" customFormat="1" ht="13.5" customHeight="1" x14ac:dyDescent="0.2">
      <c r="A19" s="143" t="s">
        <v>115</v>
      </c>
      <c r="B19" s="144" t="s">
        <v>116</v>
      </c>
      <c r="C19" s="145" t="s">
        <v>117</v>
      </c>
      <c r="D19" s="146"/>
      <c r="E19" s="146"/>
      <c r="F19" s="146"/>
      <c r="G19" s="146"/>
      <c r="H19" s="146"/>
    </row>
    <row r="20" spans="1:9" s="112" customFormat="1" ht="15.75" hidden="1" customHeight="1" x14ac:dyDescent="0.2">
      <c r="A20" s="147" t="s">
        <v>118</v>
      </c>
      <c r="B20" s="148"/>
      <c r="C20" s="149"/>
      <c r="D20" s="150"/>
      <c r="E20" s="150"/>
      <c r="F20" s="150"/>
      <c r="G20" s="150"/>
      <c r="H20" s="150"/>
    </row>
    <row r="21" spans="1:9" s="112" customFormat="1" ht="12.75" hidden="1" x14ac:dyDescent="0.2">
      <c r="A21" s="151" t="s">
        <v>119</v>
      </c>
      <c r="B21" s="152">
        <v>0.2</v>
      </c>
      <c r="C21" s="153">
        <f>I17*B21</f>
        <v>356.72</v>
      </c>
      <c r="D21" s="150"/>
      <c r="E21" s="150"/>
      <c r="F21" s="150"/>
      <c r="G21" s="150"/>
      <c r="H21" s="150"/>
    </row>
    <row r="22" spans="1:9" s="112" customFormat="1" ht="12.75" hidden="1" x14ac:dyDescent="0.2">
      <c r="A22" s="151" t="s">
        <v>120</v>
      </c>
      <c r="B22" s="152">
        <v>8.5000000000000006E-2</v>
      </c>
      <c r="C22" s="153">
        <f>I17*B22</f>
        <v>151.60599999999999</v>
      </c>
      <c r="D22" s="154"/>
      <c r="E22" s="154"/>
      <c r="F22" s="154"/>
      <c r="G22" s="154"/>
      <c r="H22" s="150"/>
    </row>
    <row r="23" spans="1:9" s="112" customFormat="1" ht="12.75" hidden="1" x14ac:dyDescent="0.2">
      <c r="A23" s="151"/>
      <c r="B23" s="152"/>
      <c r="C23" s="153"/>
      <c r="D23" s="154"/>
      <c r="E23" s="154"/>
      <c r="F23" s="154"/>
      <c r="G23" s="154"/>
      <c r="H23" s="150"/>
    </row>
    <row r="24" spans="1:9" s="112" customFormat="1" ht="15.75" hidden="1" customHeight="1" x14ac:dyDescent="0.2">
      <c r="A24" s="155" t="s">
        <v>121</v>
      </c>
      <c r="B24" s="156"/>
      <c r="C24" s="157"/>
      <c r="D24" s="150"/>
      <c r="E24" s="150"/>
      <c r="F24" s="150"/>
      <c r="G24" s="150"/>
      <c r="H24" s="150"/>
    </row>
    <row r="25" spans="1:9" s="112" customFormat="1" ht="12.95" hidden="1" customHeight="1" x14ac:dyDescent="0.2">
      <c r="A25" s="151" t="s">
        <v>122</v>
      </c>
      <c r="B25" s="152">
        <v>0.1091</v>
      </c>
      <c r="C25" s="153">
        <f>I17*B25</f>
        <v>194.59075999999999</v>
      </c>
      <c r="D25" s="150"/>
      <c r="E25" s="150"/>
      <c r="F25" s="150"/>
      <c r="G25" s="150"/>
      <c r="H25" s="150"/>
    </row>
    <row r="26" spans="1:9" s="112" customFormat="1" ht="12.75" hidden="1" x14ac:dyDescent="0.2">
      <c r="A26" s="151" t="s">
        <v>123</v>
      </c>
      <c r="B26" s="152">
        <v>9.4500000000000001E-2</v>
      </c>
      <c r="C26" s="153">
        <f>I17*B26</f>
        <v>168.55019999999999</v>
      </c>
      <c r="D26" s="150"/>
      <c r="E26" s="150"/>
      <c r="F26" s="150"/>
      <c r="G26" s="150"/>
      <c r="H26" s="150"/>
    </row>
    <row r="27" spans="1:9" s="112" customFormat="1" ht="12.75" hidden="1" x14ac:dyDescent="0.2">
      <c r="A27" s="151" t="s">
        <v>124</v>
      </c>
      <c r="B27" s="158">
        <v>5.4999999999999997E-3</v>
      </c>
      <c r="C27" s="153">
        <f>I17*B27</f>
        <v>9.8097999999999992</v>
      </c>
      <c r="D27" s="150"/>
      <c r="E27" s="150"/>
      <c r="F27" s="150"/>
      <c r="G27" s="150"/>
      <c r="H27" s="150"/>
    </row>
    <row r="28" spans="1:9" s="112" customFormat="1" ht="12.75" hidden="1" x14ac:dyDescent="0.2">
      <c r="A28" s="151" t="s">
        <v>125</v>
      </c>
      <c r="B28" s="152">
        <v>0.5</v>
      </c>
      <c r="C28" s="153">
        <f>I17*B28</f>
        <v>891.8</v>
      </c>
      <c r="D28" s="150"/>
      <c r="E28" s="150"/>
      <c r="F28" s="150"/>
      <c r="G28" s="150"/>
      <c r="H28" s="150"/>
    </row>
    <row r="29" spans="1:9" s="112" customFormat="1" ht="12.75" hidden="1" x14ac:dyDescent="0.2">
      <c r="A29" s="151"/>
      <c r="B29" s="159"/>
      <c r="C29" s="153"/>
      <c r="D29" s="150"/>
      <c r="E29" s="150"/>
      <c r="F29" s="150"/>
      <c r="G29" s="150"/>
      <c r="H29" s="150"/>
    </row>
    <row r="30" spans="1:9" s="112" customFormat="1" ht="15.75" hidden="1" customHeight="1" x14ac:dyDescent="0.2">
      <c r="A30" s="155" t="s">
        <v>126</v>
      </c>
      <c r="B30" s="156"/>
      <c r="C30" s="160"/>
      <c r="D30" s="150"/>
      <c r="E30" s="150"/>
      <c r="F30" s="150"/>
      <c r="G30" s="150"/>
      <c r="H30" s="150"/>
    </row>
    <row r="31" spans="1:9" s="112" customFormat="1" ht="10.5" hidden="1" customHeight="1" x14ac:dyDescent="0.2">
      <c r="A31" s="155"/>
      <c r="B31" s="156"/>
      <c r="C31" s="160"/>
      <c r="D31" s="150"/>
      <c r="E31" s="150"/>
      <c r="F31" s="150"/>
      <c r="G31" s="150"/>
      <c r="H31" s="150"/>
    </row>
    <row r="32" spans="1:9" s="112" customFormat="1" ht="12.95" hidden="1" customHeight="1" x14ac:dyDescent="0.2">
      <c r="A32" s="151" t="s">
        <v>127</v>
      </c>
      <c r="B32" s="152">
        <v>7.9299999999999995E-2</v>
      </c>
      <c r="C32" s="153">
        <f>I17*B32</f>
        <v>141.43947999999997</v>
      </c>
      <c r="D32" s="150"/>
      <c r="E32" s="150"/>
      <c r="F32" s="150"/>
      <c r="G32" s="150"/>
      <c r="H32" s="150"/>
    </row>
    <row r="33" spans="1:9" s="112" customFormat="1" ht="12.95" hidden="1" customHeight="1" x14ac:dyDescent="0.2">
      <c r="A33" s="151"/>
      <c r="B33" s="152"/>
      <c r="C33" s="153"/>
      <c r="D33" s="150"/>
      <c r="E33" s="150"/>
      <c r="F33" s="150"/>
      <c r="G33" s="150"/>
      <c r="H33" s="150"/>
    </row>
    <row r="34" spans="1:9" s="112" customFormat="1" ht="15.75" hidden="1" customHeight="1" x14ac:dyDescent="0.2">
      <c r="A34" s="155" t="s">
        <v>128</v>
      </c>
      <c r="B34" s="156"/>
      <c r="C34" s="160"/>
      <c r="D34" s="150"/>
      <c r="E34" s="150"/>
      <c r="F34" s="150"/>
      <c r="G34" s="150"/>
      <c r="H34" s="150"/>
    </row>
    <row r="35" spans="1:9" s="112" customFormat="1" ht="8.25" hidden="1" customHeight="1" x14ac:dyDescent="0.2">
      <c r="A35" s="155"/>
      <c r="B35" s="161"/>
      <c r="C35" s="160"/>
      <c r="D35" s="150"/>
      <c r="E35" s="150"/>
      <c r="F35" s="150"/>
      <c r="G35" s="150"/>
      <c r="H35" s="150"/>
    </row>
    <row r="36" spans="1:9" s="112" customFormat="1" ht="12.95" hidden="1" customHeight="1" x14ac:dyDescent="0.2">
      <c r="A36" s="151" t="s">
        <v>129</v>
      </c>
      <c r="B36" s="162" t="s">
        <v>130</v>
      </c>
      <c r="C36" s="153">
        <f>50/100*C22</f>
        <v>75.802999999999997</v>
      </c>
      <c r="D36" s="150"/>
      <c r="E36" s="150"/>
      <c r="F36" s="150"/>
      <c r="G36" s="150"/>
      <c r="H36" s="150"/>
    </row>
    <row r="37" spans="1:9" s="112" customFormat="1" ht="12.75" hidden="1" x14ac:dyDescent="0.2">
      <c r="A37" s="163"/>
      <c r="B37" s="164"/>
      <c r="C37" s="165"/>
      <c r="D37" s="150"/>
      <c r="E37" s="150"/>
      <c r="F37" s="150"/>
      <c r="G37" s="150"/>
      <c r="H37" s="150"/>
    </row>
    <row r="38" spans="1:9" s="112" customFormat="1" ht="14.25" customHeight="1" x14ac:dyDescent="0.2">
      <c r="A38" s="166" t="s">
        <v>131</v>
      </c>
      <c r="B38" s="167"/>
      <c r="C38" s="168">
        <f>SUM(C21:C37)</f>
        <v>1990.3192399999998</v>
      </c>
      <c r="D38" s="169"/>
      <c r="E38" s="170"/>
      <c r="F38" s="170"/>
      <c r="G38" s="170"/>
      <c r="H38" s="171"/>
    </row>
    <row r="39" spans="1:9" s="112" customFormat="1" ht="7.5" customHeight="1" x14ac:dyDescent="0.2">
      <c r="B39" s="146"/>
    </row>
    <row r="40" spans="1:9" s="112" customFormat="1" ht="14.25" customHeight="1" x14ac:dyDescent="0.2">
      <c r="A40" s="172"/>
      <c r="C40" s="173"/>
      <c r="D40" s="238" t="s">
        <v>132</v>
      </c>
      <c r="E40" s="239"/>
      <c r="F40" s="174"/>
      <c r="G40" s="174"/>
      <c r="H40" s="240">
        <f>C38+I17</f>
        <v>3773.9192399999997</v>
      </c>
      <c r="I40" s="241"/>
    </row>
    <row r="41" spans="1:9" customFormat="1" ht="17.25" customHeight="1" x14ac:dyDescent="0.25"/>
    <row r="42" spans="1:9" customFormat="1" ht="17.25" customHeight="1" x14ac:dyDescent="0.25">
      <c r="A42" s="242" t="s">
        <v>148</v>
      </c>
      <c r="B42" s="243"/>
      <c r="C42" s="243"/>
      <c r="D42" s="243"/>
      <c r="E42" s="243"/>
      <c r="F42" s="243"/>
      <c r="G42" s="244"/>
    </row>
    <row r="43" spans="1:9" s="112" customFormat="1" ht="12.75" x14ac:dyDescent="0.2"/>
    <row r="44" spans="1:9" s="112" customFormat="1" x14ac:dyDescent="0.2">
      <c r="A44" s="179"/>
      <c r="B44" s="180" t="s">
        <v>141</v>
      </c>
      <c r="C44" s="180" t="s">
        <v>142</v>
      </c>
      <c r="D44" s="177" t="s">
        <v>143</v>
      </c>
      <c r="E44" s="177" t="s">
        <v>144</v>
      </c>
      <c r="F44" s="177" t="s">
        <v>145</v>
      </c>
      <c r="G44" s="177" t="s">
        <v>138</v>
      </c>
    </row>
    <row r="45" spans="1:9" s="112" customFormat="1" ht="12.75" x14ac:dyDescent="0.2">
      <c r="A45" s="120" t="s">
        <v>68</v>
      </c>
      <c r="B45" s="121">
        <v>1</v>
      </c>
      <c r="C45" s="181">
        <v>5</v>
      </c>
      <c r="D45" s="177">
        <v>5.4</v>
      </c>
      <c r="E45" s="177">
        <v>12.96</v>
      </c>
      <c r="F45" s="182"/>
      <c r="G45" s="183">
        <f t="shared" ref="G45:G46" si="0">(B45*C45*(D45+E45+F45))</f>
        <v>91.8</v>
      </c>
      <c r="H45" s="233"/>
    </row>
    <row r="46" spans="1:9" s="112" customFormat="1" ht="12.75" x14ac:dyDescent="0.2">
      <c r="A46" s="120" t="s">
        <v>69</v>
      </c>
      <c r="B46" s="121">
        <v>6</v>
      </c>
      <c r="C46" s="181">
        <v>5</v>
      </c>
      <c r="D46" s="177">
        <v>5.4</v>
      </c>
      <c r="E46" s="177">
        <v>12.96</v>
      </c>
      <c r="F46" s="182"/>
      <c r="G46" s="183">
        <f t="shared" si="0"/>
        <v>550.79999999999995</v>
      </c>
      <c r="H46" s="233"/>
    </row>
    <row r="47" spans="1:9" s="112" customFormat="1" ht="12.75" x14ac:dyDescent="0.2">
      <c r="G47" s="184">
        <f>SUM(G45:G46)</f>
        <v>642.59999999999991</v>
      </c>
    </row>
    <row r="52" spans="9:9" x14ac:dyDescent="0.2">
      <c r="I52" s="214">
        <f>H40+G47</f>
        <v>4416.5192399999996</v>
      </c>
    </row>
  </sheetData>
  <mergeCells count="6">
    <mergeCell ref="H45:H46"/>
    <mergeCell ref="A5:I5"/>
    <mergeCell ref="D17:H17"/>
    <mergeCell ref="D40:E40"/>
    <mergeCell ref="H40:I40"/>
    <mergeCell ref="A42:G4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DFP</vt:lpstr>
      <vt:lpstr>COMPOSIÇÃO</vt:lpstr>
      <vt:lpstr>CATAÇÃO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cp:lastPrinted>2019-10-22T13:44:28Z</cp:lastPrinted>
  <dcterms:created xsi:type="dcterms:W3CDTF">2015-06-16T16:59:49Z</dcterms:created>
  <dcterms:modified xsi:type="dcterms:W3CDTF">2019-10-22T13:44:34Z</dcterms:modified>
</cp:coreProperties>
</file>