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issa Mesquita\Desktop\PARANAPANEMA 2019\C.UNIFICADA rev 08\PC 970 L 19 REV 08 Conversor\"/>
    </mc:Choice>
  </mc:AlternateContent>
  <bookViews>
    <workbookView xWindow="0" yWindow="0" windowWidth="20490" windowHeight="7755"/>
  </bookViews>
  <sheets>
    <sheet name="DFP - 1" sheetId="1" r:id="rId1"/>
    <sheet name="COMPOSIÇÃO" sheetId="3" r:id="rId2"/>
    <sheet name="CATAÇÃO" sheetId="4" r:id="rId3"/>
  </sheets>
  <calcPr calcId="152511"/>
</workbook>
</file>

<file path=xl/calcChain.xml><?xml version="1.0" encoding="utf-8"?>
<calcChain xmlns="http://schemas.openxmlformats.org/spreadsheetml/2006/main">
  <c r="C64" i="1" l="1"/>
  <c r="C60" i="1"/>
  <c r="C59" i="1" l="1"/>
  <c r="G99" i="3" l="1"/>
  <c r="G98" i="3"/>
  <c r="G97" i="3"/>
  <c r="G96" i="3"/>
  <c r="G95" i="3"/>
  <c r="G94" i="3"/>
  <c r="G93" i="3"/>
  <c r="G92" i="3"/>
  <c r="G100" i="3" s="1"/>
  <c r="G89" i="3"/>
  <c r="G88" i="3"/>
  <c r="G87" i="3"/>
  <c r="G86" i="3"/>
  <c r="G85" i="3"/>
  <c r="G84" i="3"/>
  <c r="G83" i="3"/>
  <c r="G82" i="3"/>
  <c r="G81" i="3"/>
  <c r="G80" i="3"/>
  <c r="G90" i="3" l="1"/>
  <c r="G102" i="3" s="1"/>
  <c r="D104" i="1" l="1"/>
  <c r="B158" i="1"/>
  <c r="B131" i="1"/>
  <c r="D105" i="1"/>
  <c r="D107" i="1" l="1"/>
  <c r="C112" i="1" s="1"/>
  <c r="D112" i="1" s="1"/>
  <c r="C111" i="1"/>
  <c r="D111" i="1" s="1"/>
  <c r="D114" i="1" l="1"/>
  <c r="C119" i="1" s="1"/>
  <c r="D119" i="1" s="1"/>
  <c r="D122" i="1" s="1"/>
  <c r="E133" i="1" s="1"/>
  <c r="D42" i="1" l="1"/>
  <c r="C61" i="1" l="1"/>
  <c r="D56" i="1"/>
  <c r="J49" i="4" l="1"/>
  <c r="H13" i="3"/>
  <c r="H14" i="3"/>
  <c r="H16" i="3"/>
  <c r="H17" i="3"/>
  <c r="H18" i="3"/>
  <c r="H19" i="3"/>
  <c r="H20" i="3"/>
  <c r="H12" i="3"/>
  <c r="H11" i="3"/>
  <c r="H10" i="3"/>
  <c r="G13" i="3"/>
  <c r="G14" i="3"/>
  <c r="G16" i="3"/>
  <c r="G17" i="3"/>
  <c r="G18" i="3"/>
  <c r="G19" i="3"/>
  <c r="G20" i="3"/>
  <c r="G12" i="3"/>
  <c r="F11" i="3"/>
  <c r="F12" i="3"/>
  <c r="F13" i="3"/>
  <c r="F14" i="3"/>
  <c r="F16" i="3"/>
  <c r="F17" i="3"/>
  <c r="F18" i="3"/>
  <c r="F19" i="3"/>
  <c r="F20" i="3"/>
  <c r="F10" i="3"/>
  <c r="H10" i="4" l="1"/>
  <c r="H9" i="4"/>
  <c r="C45" i="1"/>
  <c r="C44" i="1"/>
  <c r="K17" i="3" l="1"/>
  <c r="K18" i="3"/>
  <c r="K19" i="3"/>
  <c r="K20" i="3"/>
  <c r="K16" i="3"/>
  <c r="K14" i="3"/>
  <c r="K11" i="3"/>
  <c r="D52" i="1" l="1"/>
  <c r="D63" i="1" l="1"/>
  <c r="G44" i="4"/>
  <c r="G43" i="4"/>
  <c r="I10" i="4" l="1"/>
  <c r="I9" i="4"/>
  <c r="G45" i="4"/>
  <c r="I15" i="4" l="1"/>
  <c r="D61" i="1"/>
  <c r="D60" i="1"/>
  <c r="D59" i="1"/>
  <c r="D51" i="1"/>
  <c r="D45" i="1"/>
  <c r="D44" i="1"/>
  <c r="D43" i="1"/>
  <c r="D41" i="1"/>
  <c r="D40" i="1"/>
  <c r="D39" i="1"/>
  <c r="C38" i="1"/>
  <c r="D38" i="1" s="1"/>
  <c r="C37" i="1"/>
  <c r="D37" i="1" s="1"/>
  <c r="C36" i="1"/>
  <c r="D36" i="1" s="1"/>
  <c r="D35" i="1"/>
  <c r="D34" i="1"/>
  <c r="D33" i="1"/>
  <c r="D49" i="1"/>
  <c r="D50" i="1"/>
  <c r="D57" i="1"/>
  <c r="D58" i="1"/>
  <c r="D62" i="1"/>
  <c r="D64" i="1"/>
  <c r="G67" i="3"/>
  <c r="G61" i="3"/>
  <c r="C13" i="1"/>
  <c r="C14" i="1"/>
  <c r="C15" i="1"/>
  <c r="C16" i="1"/>
  <c r="C17" i="1"/>
  <c r="G72" i="3"/>
  <c r="G71" i="3"/>
  <c r="G70" i="3"/>
  <c r="G69" i="3"/>
  <c r="G68" i="3"/>
  <c r="G66" i="3"/>
  <c r="G65" i="3"/>
  <c r="G62" i="3"/>
  <c r="G60" i="3"/>
  <c r="G59" i="3"/>
  <c r="G58" i="3"/>
  <c r="G57" i="3"/>
  <c r="G56" i="3"/>
  <c r="G55" i="3"/>
  <c r="G54" i="3"/>
  <c r="G53" i="3"/>
  <c r="C20" i="3"/>
  <c r="C19" i="3"/>
  <c r="C13" i="3"/>
  <c r="C12" i="3"/>
  <c r="C11" i="3"/>
  <c r="K10" i="3"/>
  <c r="C30" i="4" l="1"/>
  <c r="C23" i="4"/>
  <c r="C24" i="4"/>
  <c r="C26" i="4"/>
  <c r="C20" i="4"/>
  <c r="C34" i="4" s="1"/>
  <c r="C25" i="4"/>
  <c r="C19" i="4"/>
  <c r="D53" i="1"/>
  <c r="D65" i="1"/>
  <c r="D46" i="1"/>
  <c r="I10" i="3"/>
  <c r="I18" i="3"/>
  <c r="I14" i="3"/>
  <c r="G63" i="3"/>
  <c r="G73" i="3"/>
  <c r="K12" i="3"/>
  <c r="I16" i="3"/>
  <c r="I17" i="3"/>
  <c r="I12" i="3"/>
  <c r="K13" i="3"/>
  <c r="I11" i="3"/>
  <c r="I13" i="3"/>
  <c r="C36" i="4" l="1"/>
  <c r="H38" i="4" s="1"/>
  <c r="I49" i="4" s="1"/>
  <c r="I20" i="3"/>
  <c r="I19" i="3"/>
  <c r="I25" i="3" s="1"/>
  <c r="C36" i="3" s="1"/>
  <c r="K21" i="3"/>
  <c r="G75" i="3"/>
  <c r="C34" i="3" l="1"/>
  <c r="C35" i="3"/>
  <c r="C33" i="3"/>
  <c r="C40" i="3"/>
  <c r="C29" i="3"/>
  <c r="C30" i="3"/>
  <c r="C44" i="3" s="1"/>
  <c r="C46" i="3" l="1"/>
  <c r="H48" i="3" s="1"/>
  <c r="B96" i="1" l="1"/>
  <c r="E19" i="1" l="1"/>
  <c r="E18" i="1"/>
  <c r="C9" i="1" l="1"/>
  <c r="C12" i="1"/>
  <c r="C11" i="1"/>
  <c r="C10" i="1"/>
  <c r="C8" i="1"/>
  <c r="E20" i="1"/>
  <c r="E21" i="1" s="1"/>
  <c r="E23" i="1" l="1"/>
  <c r="C138" i="1" s="1"/>
  <c r="D138" i="1" s="1"/>
  <c r="D141" i="1" s="1"/>
  <c r="C146" i="1" s="1"/>
  <c r="D146" i="1" s="1"/>
  <c r="D149" i="1" s="1"/>
  <c r="E160" i="1" s="1"/>
  <c r="C28" i="1" l="1"/>
  <c r="E30" i="1" s="1"/>
  <c r="E67" i="1" s="1"/>
  <c r="C72" i="1" s="1"/>
  <c r="D72" i="1" s="1"/>
  <c r="C71" i="1" l="1"/>
  <c r="D71" i="1" s="1"/>
  <c r="C73" i="1"/>
  <c r="D73" i="1" s="1"/>
  <c r="D75" i="1" l="1"/>
  <c r="C80" i="1" s="1"/>
  <c r="D80" i="1" s="1"/>
  <c r="D83" i="1" s="1"/>
  <c r="E87" i="1" s="1"/>
  <c r="E98" i="1" s="1"/>
</calcChain>
</file>

<file path=xl/comments1.xml><?xml version="1.0" encoding="utf-8"?>
<comments xmlns="http://schemas.openxmlformats.org/spreadsheetml/2006/main">
  <authors>
    <author>Risoterm - Obra Dow</author>
  </authors>
  <commentList>
    <comment ref="C53" authorId="0" shapeId="0">
      <text>
        <r>
          <rPr>
            <b/>
            <sz val="9"/>
            <color indexed="81"/>
            <rFont val="Tahoma"/>
            <family val="2"/>
          </rPr>
          <t>Risoterm - Obra Dow:</t>
        </r>
        <r>
          <rPr>
            <sz val="9"/>
            <color indexed="81"/>
            <rFont val="Tahoma"/>
            <family val="2"/>
          </rPr>
          <t xml:space="preserve">
+ 33 dias pré-parada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</rPr>
          <t>Risoterm - Obra Dow:</t>
        </r>
        <r>
          <rPr>
            <sz val="9"/>
            <color indexed="81"/>
            <rFont val="Tahoma"/>
            <family val="2"/>
          </rPr>
          <t xml:space="preserve">
+ 33 dias pré-parada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</rPr>
          <t>Risoterm - Obra Dow:</t>
        </r>
        <r>
          <rPr>
            <sz val="9"/>
            <color indexed="81"/>
            <rFont val="Tahoma"/>
            <family val="2"/>
          </rPr>
          <t xml:space="preserve">
+ 33 dias pré-parada</t>
        </r>
      </text>
    </comment>
    <comment ref="C80" authorId="0" shapeId="0">
      <text>
        <r>
          <rPr>
            <b/>
            <sz val="9"/>
            <color indexed="81"/>
            <rFont val="Tahoma"/>
            <family val="2"/>
          </rPr>
          <t>Risoterm - Obra Dow:</t>
        </r>
        <r>
          <rPr>
            <sz val="9"/>
            <color indexed="81"/>
            <rFont val="Tahoma"/>
            <family val="2"/>
          </rPr>
          <t xml:space="preserve">
+ 33 dias pré-parada</t>
        </r>
      </text>
    </comment>
    <comment ref="C81" authorId="0" shapeId="0">
      <text>
        <r>
          <rPr>
            <b/>
            <sz val="9"/>
            <color indexed="81"/>
            <rFont val="Tahoma"/>
            <family val="2"/>
          </rPr>
          <t>Risoterm - Obra Dow:</t>
        </r>
        <r>
          <rPr>
            <sz val="9"/>
            <color indexed="81"/>
            <rFont val="Tahoma"/>
            <family val="2"/>
          </rPr>
          <t xml:space="preserve">
+ 33 dias pré-parada</t>
        </r>
      </text>
    </comment>
    <comment ref="C82" authorId="0" shapeId="0">
      <text>
        <r>
          <rPr>
            <b/>
            <sz val="9"/>
            <color indexed="81"/>
            <rFont val="Tahoma"/>
            <family val="2"/>
          </rPr>
          <t>Risoterm - Obra Dow:</t>
        </r>
        <r>
          <rPr>
            <sz val="9"/>
            <color indexed="81"/>
            <rFont val="Tahoma"/>
            <family val="2"/>
          </rPr>
          <t xml:space="preserve">
+ 33 dias pré-parada</t>
        </r>
      </text>
    </comment>
  </commentList>
</comments>
</file>

<file path=xl/sharedStrings.xml><?xml version="1.0" encoding="utf-8"?>
<sst xmlns="http://schemas.openxmlformats.org/spreadsheetml/2006/main" count="344" uniqueCount="161">
  <si>
    <t>1.Custos Diretos</t>
  </si>
  <si>
    <t xml:space="preserve"> </t>
  </si>
  <si>
    <t>1.1 a) Mão-de-Obra (M.O)</t>
  </si>
  <si>
    <t>Categoria Profissional</t>
  </si>
  <si>
    <t>Quantidade de pessoal</t>
  </si>
  <si>
    <t>Total (R$)</t>
  </si>
  <si>
    <t>Total Salário Bruto</t>
  </si>
  <si>
    <t>Adicional de Periculosidade - 30%</t>
  </si>
  <si>
    <t>Total de salários</t>
  </si>
  <si>
    <t>1.1 b) Encargos Sociais, Trabalhistas e Previdenciários</t>
  </si>
  <si>
    <t>Descrição</t>
  </si>
  <si>
    <t>%</t>
  </si>
  <si>
    <t>Valores (R$)</t>
  </si>
  <si>
    <t>Total de Encargos</t>
  </si>
  <si>
    <t>Total de M.O (1.1)</t>
  </si>
  <si>
    <t>Tipo</t>
  </si>
  <si>
    <t>Quantidade      Prevista</t>
  </si>
  <si>
    <t>Custo Unitário (R$)</t>
  </si>
  <si>
    <t>Valor Total (R$)</t>
  </si>
  <si>
    <t>Materiais de Consumo</t>
  </si>
  <si>
    <t>Ferramentas</t>
  </si>
  <si>
    <t>Total Materiais</t>
  </si>
  <si>
    <t>Quantidade Prevista</t>
  </si>
  <si>
    <t>Custo Unitário R$</t>
  </si>
  <si>
    <t>Transporte</t>
  </si>
  <si>
    <t>Total de Outros Custos Diretos</t>
  </si>
  <si>
    <t>Total Custos Diretos (1.1+1.2+1.3+1.4)</t>
  </si>
  <si>
    <t>2.Custos Indiretos</t>
  </si>
  <si>
    <t>Alíquota (%) em relação ao ítem 1</t>
  </si>
  <si>
    <t>Base de Cálculo (R$)</t>
  </si>
  <si>
    <t>Total Custos Indiretos</t>
  </si>
  <si>
    <t>3.Tributos Incidentes sobre o Lucro</t>
  </si>
  <si>
    <t>Alíquota (%)</t>
  </si>
  <si>
    <t>Total Tributos Incidentes sobre o lucro</t>
  </si>
  <si>
    <t>4.Total dos Custos (R$)</t>
  </si>
  <si>
    <t>Custos Diretos + Custos Indiretos + Tributos Sobre o Lucro</t>
  </si>
  <si>
    <t>5.Tributos Incidentes sobre o Faturamento</t>
  </si>
  <si>
    <t>ISS</t>
  </si>
  <si>
    <t>PIS</t>
  </si>
  <si>
    <t>COFINS</t>
  </si>
  <si>
    <t>Total Tributos sobre o Faturamento</t>
  </si>
  <si>
    <t>6.Preço Total para Faturamento (R$)</t>
  </si>
  <si>
    <t xml:space="preserve">          INSTRUÇÕES PARA PREENCHIMENTO DA PLANILHA</t>
  </si>
  <si>
    <t>1.1</t>
  </si>
  <si>
    <t>Preenche-se a categoria profissional</t>
  </si>
  <si>
    <t>Preenche-se a quantidade de horas, dias ou meses que o profissional trabalhará</t>
  </si>
  <si>
    <t>Preenche-se o valor do salário do profissional por hora, dia ou mês, de acordo com o que foi preenchido no quadro anterior.</t>
  </si>
  <si>
    <t>Preenche-se a quantidade de profissionais daquela categoria que serão necessários para a realização do serviço</t>
  </si>
  <si>
    <t>Preenche-se os percentuais referentes aos encargos sociais. Se necessário, pode-se acrescentar outros encargos sociais que</t>
  </si>
  <si>
    <t>venham a incidir nos custos</t>
  </si>
  <si>
    <t xml:space="preserve">1.2 - 1.3 - 1.4 </t>
  </si>
  <si>
    <t>Preenche-se a quantidade prevista dos itens relacionados. Se necessário, pode-se acrescentar outros itens que sejam relevantes</t>
  </si>
  <si>
    <t>Preenche-se os custos unitários referentes aos itens relacionados</t>
  </si>
  <si>
    <t>Preenche-se os percentuais incidentes sobre os custos diretos, referentes à taxa de administração e à margem de lucro</t>
  </si>
  <si>
    <t>Preenche-se os percentuais referentes aos tributos que incidem sobre o lucro</t>
  </si>
  <si>
    <t>Preenche-se os percentuais referentes aos tributos que incidem sobre o faturamento</t>
  </si>
  <si>
    <t xml:space="preserve">OBS: Os cálculos serão feitos automaticamente pelas fórmulas contidas na planilha </t>
  </si>
  <si>
    <t>ATENÇÃO: PREENCHER SOMENTE OS CAMPOS EM AZUL</t>
  </si>
  <si>
    <t xml:space="preserve">DEMONSTRATIVO DE FORMAÇÃO DE PREÇO DOS SERVIÇOS </t>
  </si>
  <si>
    <t xml:space="preserve">Preço Total para Faturamento </t>
  </si>
  <si>
    <t>vb</t>
  </si>
  <si>
    <t>Exames Médicos</t>
  </si>
  <si>
    <t>Seguro de Acidentes Pessoais</t>
  </si>
  <si>
    <t>Higienização de EPI´S</t>
  </si>
  <si>
    <t>Adm. Central e Gerenciamento</t>
  </si>
  <si>
    <t>Despesas Financeiras</t>
  </si>
  <si>
    <t>Lucro Operacional</t>
  </si>
  <si>
    <t>Provisão p/ IRPJ e CSLL</t>
  </si>
  <si>
    <t>EPI's</t>
  </si>
  <si>
    <t xml:space="preserve">1.1 Salários </t>
  </si>
  <si>
    <t>Quantidade</t>
  </si>
  <si>
    <t>Salário
 Básico (R$)</t>
  </si>
  <si>
    <t>Regime de
 Trabalho</t>
  </si>
  <si>
    <t>Adicional Periculosidade</t>
  </si>
  <si>
    <t>Hora Extra</t>
  </si>
  <si>
    <t>Adicional  Noturno</t>
  </si>
  <si>
    <t>Hora Normal
 (R$)</t>
  </si>
  <si>
    <t>Total
 Parcial (R$)</t>
  </si>
  <si>
    <t>Mão-de-Obra Direta</t>
  </si>
  <si>
    <t>Total Salários</t>
  </si>
  <si>
    <t>Aviso Prévio Indenizado</t>
  </si>
  <si>
    <t>Cesta Basica</t>
  </si>
  <si>
    <t>Marteleteiro</t>
  </si>
  <si>
    <t>ALIMENTAÇÃO</t>
  </si>
  <si>
    <t>Qtd</t>
  </si>
  <si>
    <t>Dias</t>
  </si>
  <si>
    <t>desjejum</t>
  </si>
  <si>
    <t>almoço</t>
  </si>
  <si>
    <t>lanche</t>
  </si>
  <si>
    <t>Total</t>
  </si>
  <si>
    <t>Pedreiro Refratarista</t>
  </si>
  <si>
    <t>Ceia</t>
  </si>
  <si>
    <t>Salário
 Mês (R$)</t>
  </si>
  <si>
    <t>Ajudante</t>
  </si>
  <si>
    <t>v v</t>
  </si>
  <si>
    <t>COMPOSIÇÃO DE PREÇOS- Forno Eletrico</t>
  </si>
  <si>
    <t>PRÊMIO PARADA</t>
  </si>
  <si>
    <t>Mão-de-Obra Indireta</t>
  </si>
  <si>
    <t>Coordenador</t>
  </si>
  <si>
    <t>Téc. de Planejamento</t>
  </si>
  <si>
    <t>Téc. de Segurança</t>
  </si>
  <si>
    <t>11 x 11</t>
  </si>
  <si>
    <t>Almoxarife</t>
  </si>
  <si>
    <t xml:space="preserve">Encarregado </t>
  </si>
  <si>
    <t>Obs. Segurança</t>
  </si>
  <si>
    <t>Cortador</t>
  </si>
  <si>
    <t xml:space="preserve">1.2 Encargos Sociais </t>
  </si>
  <si>
    <t>Encargos Sociais</t>
  </si>
  <si>
    <t>% Encargos</t>
  </si>
  <si>
    <t>Valor Mensal</t>
  </si>
  <si>
    <t>A) Encargos Básicos</t>
  </si>
  <si>
    <t>INSS Empresa</t>
  </si>
  <si>
    <t>FGTS</t>
  </si>
  <si>
    <t xml:space="preserve">B) Encargos Esporádicos </t>
  </si>
  <si>
    <t>13º Salário</t>
  </si>
  <si>
    <t>Férias</t>
  </si>
  <si>
    <t>Auxílio Doença</t>
  </si>
  <si>
    <t>Aviso Prévio Idenizado</t>
  </si>
  <si>
    <t xml:space="preserve">C) Taxa das Reincidências </t>
  </si>
  <si>
    <t>Reincidência de "A"  x "B"</t>
  </si>
  <si>
    <t xml:space="preserve">D) Multa por Despedida </t>
  </si>
  <si>
    <t>Depósito por despedida</t>
  </si>
  <si>
    <t>50% (FGTS)</t>
  </si>
  <si>
    <t>TOTAL  ENCARGOS</t>
  </si>
  <si>
    <t>Total de M.O. + Encargos</t>
  </si>
  <si>
    <t>DIA</t>
  </si>
  <si>
    <t>NOITE</t>
  </si>
  <si>
    <t>1.2 - Equipamentos Principais</t>
  </si>
  <si>
    <t xml:space="preserve">Misturador de Concreto </t>
  </si>
  <si>
    <t>Máquina Policort</t>
  </si>
  <si>
    <t>Disco Máquina Policorte</t>
  </si>
  <si>
    <t>Serra Tico-tico</t>
  </si>
  <si>
    <t>Serra Circular</t>
  </si>
  <si>
    <t>Rádios</t>
  </si>
  <si>
    <t>Compressor de Ar</t>
  </si>
  <si>
    <t>Martelete</t>
  </si>
  <si>
    <t>Ponteira de Martelete</t>
  </si>
  <si>
    <t>vg</t>
  </si>
  <si>
    <t xml:space="preserve">Toldo 6 x 6 </t>
  </si>
  <si>
    <t>Container 6m - almox</t>
  </si>
  <si>
    <t>Container 6m - vest</t>
  </si>
  <si>
    <t>Total Equipamentos</t>
  </si>
  <si>
    <t>1.3 - Materiais e Ferramentaria</t>
  </si>
  <si>
    <t>1.4 Outros Custos Diretos</t>
  </si>
  <si>
    <t>Iluminaçao</t>
  </si>
  <si>
    <t>Fardamento</t>
  </si>
  <si>
    <t>Catação</t>
  </si>
  <si>
    <t>Sistema de Travamento dos tijolos do Cilindro</t>
  </si>
  <si>
    <r>
      <t>BASE: MARCO</t>
    </r>
    <r>
      <rPr>
        <sz val="10"/>
        <rFont val="Arial"/>
        <family val="2"/>
      </rPr>
      <t>/ 2019</t>
    </r>
  </si>
  <si>
    <t>Empilhadeira</t>
  </si>
  <si>
    <t>8.3 Preço Total  (R$)</t>
  </si>
  <si>
    <t>7. Prêmio Parada</t>
  </si>
  <si>
    <t>Prêmio de Parada</t>
  </si>
  <si>
    <t>7.1 Custos Indiretos</t>
  </si>
  <si>
    <t>7.2 Tributos Incidentes sobre o Lucro</t>
  </si>
  <si>
    <t>7.3 Tributos Incidentes sobre o Faturamento</t>
  </si>
  <si>
    <t>7.4 .Preço Total  (R$)</t>
  </si>
  <si>
    <t>8. Aviso Prévio Indenizado</t>
  </si>
  <si>
    <t>8.1 Tributos Incidentes sobre o Lucro</t>
  </si>
  <si>
    <t>8.2 Tributos Incidentes sobre o Faturamento</t>
  </si>
  <si>
    <t>Alimentação (para serviços fora da Paranapanema)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</si>
</sst>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u/>
      <sz val="13"/>
      <color theme="0"/>
      <name val="Calibri"/>
      <family val="2"/>
      <scheme val="minor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7"/>
      </patternFill>
    </fill>
    <fill>
      <patternFill patternType="lightGray">
        <fgColor indexed="22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Gray">
        <fgColor indexed="22"/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7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42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Border="1"/>
    <xf numFmtId="0" fontId="2" fillId="0" borderId="1" xfId="1" applyFont="1" applyBorder="1"/>
    <xf numFmtId="0" fontId="2" fillId="0" borderId="0" xfId="1" applyFont="1" applyAlignment="1">
      <alignment horizontal="right"/>
    </xf>
    <xf numFmtId="0" fontId="4" fillId="0" borderId="0" xfId="1" applyFont="1"/>
    <xf numFmtId="0" fontId="2" fillId="0" borderId="0" xfId="1" applyFont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4" fillId="0" borderId="0" xfId="1" applyFont="1" applyAlignment="1">
      <alignment horizontal="right" vertical="center"/>
    </xf>
    <xf numFmtId="0" fontId="2" fillId="0" borderId="3" xfId="1" applyFont="1" applyBorder="1"/>
    <xf numFmtId="0" fontId="3" fillId="2" borderId="5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7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10" fontId="2" fillId="0" borderId="0" xfId="1" applyNumberFormat="1" applyFont="1" applyAlignment="1">
      <alignment horizontal="center"/>
    </xf>
    <xf numFmtId="0" fontId="3" fillId="2" borderId="4" xfId="1" applyFont="1" applyFill="1" applyBorder="1" applyAlignment="1">
      <alignment horizontal="center" vertical="center" wrapText="1"/>
    </xf>
    <xf numFmtId="0" fontId="2" fillId="0" borderId="8" xfId="1" applyFont="1" applyBorder="1"/>
    <xf numFmtId="0" fontId="2" fillId="0" borderId="9" xfId="1" applyFont="1" applyBorder="1"/>
    <xf numFmtId="0" fontId="4" fillId="0" borderId="0" xfId="1" applyFont="1" applyBorder="1"/>
    <xf numFmtId="165" fontId="3" fillId="0" borderId="0" xfId="1" applyNumberFormat="1" applyFont="1" applyBorder="1"/>
    <xf numFmtId="0" fontId="2" fillId="0" borderId="10" xfId="1" applyFont="1" applyBorder="1"/>
    <xf numFmtId="0" fontId="2" fillId="0" borderId="6" xfId="1" applyFont="1" applyBorder="1" applyAlignment="1">
      <alignment horizontal="center"/>
    </xf>
    <xf numFmtId="165" fontId="2" fillId="0" borderId="6" xfId="3" applyFont="1" applyFill="1" applyBorder="1" applyAlignment="1" applyProtection="1">
      <alignment horizontal="center" wrapText="1"/>
      <protection locked="0"/>
    </xf>
    <xf numFmtId="0" fontId="3" fillId="0" borderId="5" xfId="1" applyFont="1" applyBorder="1" applyAlignment="1">
      <alignment vertical="center"/>
    </xf>
    <xf numFmtId="0" fontId="3" fillId="0" borderId="11" xfId="3" applyNumberFormat="1" applyFont="1" applyBorder="1" applyAlignment="1">
      <alignment horizontal="center" vertical="center"/>
    </xf>
    <xf numFmtId="0" fontId="6" fillId="0" borderId="0" xfId="1" applyFont="1"/>
    <xf numFmtId="0" fontId="7" fillId="0" borderId="0" xfId="1" applyFont="1"/>
    <xf numFmtId="0" fontId="8" fillId="0" borderId="0" xfId="1" applyFont="1"/>
    <xf numFmtId="0" fontId="6" fillId="0" borderId="0" xfId="1" applyFont="1" applyAlignment="1">
      <alignment horizontal="left"/>
    </xf>
    <xf numFmtId="0" fontId="3" fillId="0" borderId="0" xfId="1" applyFont="1"/>
    <xf numFmtId="0" fontId="2" fillId="0" borderId="12" xfId="1" applyFont="1" applyBorder="1"/>
    <xf numFmtId="0" fontId="9" fillId="0" borderId="0" xfId="1" applyFont="1"/>
    <xf numFmtId="0" fontId="4" fillId="3" borderId="4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 applyProtection="1">
      <alignment vertical="center"/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165" fontId="2" fillId="4" borderId="13" xfId="3" applyFont="1" applyFill="1" applyBorder="1" applyAlignment="1" applyProtection="1">
      <alignment horizontal="center" wrapText="1"/>
      <protection locked="0"/>
    </xf>
    <xf numFmtId="0" fontId="2" fillId="4" borderId="13" xfId="3" applyNumberFormat="1" applyFont="1" applyFill="1" applyBorder="1" applyAlignment="1" applyProtection="1">
      <alignment horizontal="center" vertical="center"/>
      <protection locked="0"/>
    </xf>
    <xf numFmtId="0" fontId="3" fillId="3" borderId="4" xfId="1" applyFont="1" applyFill="1" applyBorder="1" applyAlignment="1">
      <alignment horizontal="center" vertical="center"/>
    </xf>
    <xf numFmtId="10" fontId="2" fillId="4" borderId="9" xfId="1" applyNumberFormat="1" applyFont="1" applyFill="1" applyBorder="1" applyAlignment="1" applyProtection="1">
      <alignment horizontal="center"/>
      <protection locked="0"/>
    </xf>
    <xf numFmtId="10" fontId="2" fillId="4" borderId="14" xfId="1" applyNumberFormat="1" applyFont="1" applyFill="1" applyBorder="1" applyAlignment="1" applyProtection="1">
      <alignment horizontal="center"/>
      <protection locked="0"/>
    </xf>
    <xf numFmtId="165" fontId="2" fillId="4" borderId="9" xfId="3" applyFont="1" applyFill="1" applyBorder="1" applyAlignment="1" applyProtection="1">
      <alignment horizontal="center"/>
      <protection locked="0"/>
    </xf>
    <xf numFmtId="0" fontId="4" fillId="3" borderId="4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justify"/>
    </xf>
    <xf numFmtId="0" fontId="2" fillId="4" borderId="9" xfId="1" applyFont="1" applyFill="1" applyBorder="1" applyAlignment="1" applyProtection="1">
      <alignment horizontal="center"/>
      <protection locked="0"/>
    </xf>
    <xf numFmtId="10" fontId="2" fillId="4" borderId="8" xfId="1" applyNumberFormat="1" applyFont="1" applyFill="1" applyBorder="1" applyAlignment="1" applyProtection="1">
      <alignment horizontal="center"/>
      <protection locked="0"/>
    </xf>
    <xf numFmtId="10" fontId="2" fillId="4" borderId="17" xfId="1" applyNumberFormat="1" applyFont="1" applyFill="1" applyBorder="1" applyAlignment="1" applyProtection="1">
      <alignment horizontal="center"/>
      <protection locked="0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vertical="center"/>
    </xf>
    <xf numFmtId="10" fontId="2" fillId="4" borderId="1" xfId="1" applyNumberFormat="1" applyFont="1" applyFill="1" applyBorder="1" applyAlignment="1" applyProtection="1">
      <alignment horizontal="center"/>
      <protection locked="0"/>
    </xf>
    <xf numFmtId="0" fontId="3" fillId="5" borderId="0" xfId="1" applyFont="1" applyFill="1" applyAlignment="1">
      <alignment horizontal="left"/>
    </xf>
    <xf numFmtId="0" fontId="3" fillId="5" borderId="4" xfId="1" applyFont="1" applyFill="1" applyBorder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/>
    </xf>
    <xf numFmtId="0" fontId="3" fillId="5" borderId="5" xfId="1" applyFont="1" applyFill="1" applyBorder="1" applyAlignment="1">
      <alignment vertical="center"/>
    </xf>
    <xf numFmtId="0" fontId="2" fillId="5" borderId="7" xfId="1" applyFont="1" applyFill="1" applyBorder="1" applyAlignment="1">
      <alignment vertical="center"/>
    </xf>
    <xf numFmtId="0" fontId="3" fillId="5" borderId="1" xfId="1" applyFont="1" applyFill="1" applyBorder="1" applyAlignment="1">
      <alignment vertical="center"/>
    </xf>
    <xf numFmtId="0" fontId="2" fillId="0" borderId="19" xfId="1" applyFont="1" applyBorder="1"/>
    <xf numFmtId="0" fontId="4" fillId="0" borderId="5" xfId="1" applyFont="1" applyBorder="1" applyAlignment="1" applyProtection="1">
      <alignment vertical="center"/>
      <protection locked="0"/>
    </xf>
    <xf numFmtId="0" fontId="2" fillId="0" borderId="6" xfId="1" applyFont="1" applyBorder="1" applyProtection="1">
      <protection locked="0"/>
    </xf>
    <xf numFmtId="165" fontId="3" fillId="0" borderId="7" xfId="1" applyNumberFormat="1" applyFont="1" applyBorder="1" applyAlignment="1" applyProtection="1">
      <alignment vertical="center"/>
      <protection locked="0"/>
    </xf>
    <xf numFmtId="165" fontId="2" fillId="3" borderId="13" xfId="3" applyFont="1" applyFill="1" applyBorder="1" applyAlignment="1" applyProtection="1">
      <alignment horizontal="center" vertical="center"/>
    </xf>
    <xf numFmtId="165" fontId="3" fillId="0" borderId="13" xfId="3" applyFont="1" applyBorder="1" applyAlignment="1" applyProtection="1">
      <alignment horizontal="center" vertical="center"/>
    </xf>
    <xf numFmtId="165" fontId="3" fillId="0" borderId="4" xfId="1" applyNumberFormat="1" applyFont="1" applyBorder="1" applyAlignment="1" applyProtection="1">
      <alignment vertical="center"/>
    </xf>
    <xf numFmtId="165" fontId="3" fillId="5" borderId="7" xfId="1" applyNumberFormat="1" applyFont="1" applyFill="1" applyBorder="1" applyAlignment="1" applyProtection="1">
      <alignment horizontal="right" vertical="center"/>
    </xf>
    <xf numFmtId="165" fontId="2" fillId="3" borderId="20" xfId="1" applyNumberFormat="1" applyFont="1" applyFill="1" applyBorder="1" applyAlignment="1" applyProtection="1">
      <alignment horizontal="center"/>
    </xf>
    <xf numFmtId="165" fontId="2" fillId="3" borderId="19" xfId="1" applyNumberFormat="1" applyFont="1" applyFill="1" applyBorder="1" applyAlignment="1" applyProtection="1">
      <alignment horizontal="center"/>
    </xf>
    <xf numFmtId="165" fontId="2" fillId="3" borderId="8" xfId="3" applyFont="1" applyFill="1" applyBorder="1" applyAlignment="1" applyProtection="1">
      <alignment horizontal="center"/>
    </xf>
    <xf numFmtId="165" fontId="2" fillId="3" borderId="13" xfId="3" applyFont="1" applyFill="1" applyBorder="1" applyAlignment="1" applyProtection="1">
      <alignment horizontal="center"/>
    </xf>
    <xf numFmtId="165" fontId="2" fillId="3" borderId="9" xfId="3" applyFont="1" applyFill="1" applyBorder="1" applyAlignment="1" applyProtection="1">
      <alignment horizontal="center"/>
    </xf>
    <xf numFmtId="165" fontId="2" fillId="3" borderId="14" xfId="3" applyFont="1" applyFill="1" applyBorder="1" applyAlignment="1" applyProtection="1">
      <alignment horizontal="center"/>
    </xf>
    <xf numFmtId="165" fontId="2" fillId="3" borderId="1" xfId="3" applyFont="1" applyFill="1" applyBorder="1" applyAlignment="1" applyProtection="1">
      <alignment horizontal="center"/>
    </xf>
    <xf numFmtId="165" fontId="3" fillId="2" borderId="4" xfId="1" applyNumberFormat="1" applyFont="1" applyFill="1" applyBorder="1" applyAlignment="1" applyProtection="1">
      <alignment vertical="center"/>
    </xf>
    <xf numFmtId="10" fontId="3" fillId="2" borderId="4" xfId="1" applyNumberFormat="1" applyFont="1" applyFill="1" applyBorder="1" applyAlignment="1" applyProtection="1">
      <alignment horizontal="center" vertical="center"/>
    </xf>
    <xf numFmtId="165" fontId="5" fillId="3" borderId="4" xfId="3" applyFont="1" applyFill="1" applyBorder="1" applyAlignment="1" applyProtection="1">
      <alignment vertical="center"/>
    </xf>
    <xf numFmtId="0" fontId="1" fillId="0" borderId="10" xfId="1" applyBorder="1"/>
    <xf numFmtId="0" fontId="3" fillId="5" borderId="5" xfId="1" applyFont="1" applyFill="1" applyBorder="1" applyAlignment="1">
      <alignment horizontal="right" vertical="center"/>
    </xf>
    <xf numFmtId="0" fontId="3" fillId="3" borderId="7" xfId="1" applyFont="1" applyFill="1" applyBorder="1" applyAlignment="1">
      <alignment horizontal="center" vertical="center" wrapText="1"/>
    </xf>
    <xf numFmtId="165" fontId="3" fillId="5" borderId="4" xfId="2" applyNumberFormat="1" applyFont="1" applyFill="1" applyBorder="1" applyAlignment="1" applyProtection="1">
      <alignment vertical="center"/>
    </xf>
    <xf numFmtId="0" fontId="3" fillId="2" borderId="0" xfId="1" applyFont="1" applyFill="1" applyBorder="1" applyAlignment="1">
      <alignment horizontal="left"/>
    </xf>
    <xf numFmtId="0" fontId="2" fillId="0" borderId="18" xfId="1" applyFont="1" applyFill="1" applyBorder="1" applyProtection="1">
      <protection locked="0"/>
    </xf>
    <xf numFmtId="0" fontId="2" fillId="0" borderId="14" xfId="1" applyFont="1" applyFill="1" applyBorder="1" applyProtection="1">
      <protection locked="0"/>
    </xf>
    <xf numFmtId="0" fontId="2" fillId="0" borderId="16" xfId="1" applyFont="1" applyFill="1" applyBorder="1" applyProtection="1">
      <protection locked="0"/>
    </xf>
    <xf numFmtId="0" fontId="3" fillId="7" borderId="4" xfId="1" applyFont="1" applyFill="1" applyBorder="1" applyAlignment="1">
      <alignment horizontal="right" vertical="center"/>
    </xf>
    <xf numFmtId="165" fontId="3" fillId="7" borderId="4" xfId="1" applyNumberFormat="1" applyFont="1" applyFill="1" applyBorder="1" applyAlignment="1" applyProtection="1">
      <alignment horizontal="right" vertical="center"/>
    </xf>
    <xf numFmtId="0" fontId="2" fillId="7" borderId="4" xfId="1" applyFont="1" applyFill="1" applyBorder="1"/>
    <xf numFmtId="0" fontId="3" fillId="8" borderId="4" xfId="1" applyFont="1" applyFill="1" applyBorder="1" applyAlignment="1">
      <alignment horizontal="right" vertical="center"/>
    </xf>
    <xf numFmtId="165" fontId="3" fillId="8" borderId="7" xfId="1" applyNumberFormat="1" applyFont="1" applyFill="1" applyBorder="1" applyAlignment="1" applyProtection="1">
      <alignment horizontal="right" vertical="center"/>
    </xf>
    <xf numFmtId="0" fontId="11" fillId="0" borderId="0" xfId="1" applyFont="1"/>
    <xf numFmtId="0" fontId="3" fillId="7" borderId="5" xfId="1" applyFont="1" applyFill="1" applyBorder="1" applyAlignment="1">
      <alignment vertical="center"/>
    </xf>
    <xf numFmtId="0" fontId="3" fillId="7" borderId="6" xfId="1" applyFont="1" applyFill="1" applyBorder="1" applyAlignment="1">
      <alignment vertical="center"/>
    </xf>
    <xf numFmtId="0" fontId="3" fillId="7" borderId="7" xfId="1" applyFont="1" applyFill="1" applyBorder="1" applyAlignment="1">
      <alignment vertical="center"/>
    </xf>
    <xf numFmtId="165" fontId="3" fillId="7" borderId="4" xfId="3" applyFont="1" applyFill="1" applyBorder="1" applyAlignment="1" applyProtection="1">
      <alignment vertical="center"/>
    </xf>
    <xf numFmtId="0" fontId="1" fillId="0" borderId="9" xfId="1" applyFont="1" applyBorder="1"/>
    <xf numFmtId="0" fontId="1" fillId="4" borderId="15" xfId="1" applyNumberFormat="1" applyFont="1" applyFill="1" applyBorder="1" applyAlignment="1" applyProtection="1">
      <alignment horizontal="center"/>
      <protection locked="0"/>
    </xf>
    <xf numFmtId="0" fontId="1" fillId="4" borderId="19" xfId="1" applyNumberFormat="1" applyFont="1" applyFill="1" applyBorder="1" applyAlignment="1" applyProtection="1">
      <alignment horizontal="center"/>
      <protection locked="0"/>
    </xf>
    <xf numFmtId="0" fontId="1" fillId="4" borderId="9" xfId="1" applyNumberFormat="1" applyFont="1" applyFill="1" applyBorder="1" applyAlignment="1" applyProtection="1">
      <alignment horizontal="center"/>
      <protection locked="0"/>
    </xf>
    <xf numFmtId="0" fontId="2" fillId="4" borderId="14" xfId="3" applyNumberFormat="1" applyFont="1" applyFill="1" applyBorder="1" applyAlignment="1" applyProtection="1">
      <alignment horizontal="center" vertical="center"/>
      <protection locked="0"/>
    </xf>
    <xf numFmtId="165" fontId="2" fillId="3" borderId="14" xfId="3" applyFont="1" applyFill="1" applyBorder="1" applyAlignment="1" applyProtection="1">
      <alignment horizontal="center" vertical="center"/>
    </xf>
    <xf numFmtId="0" fontId="1" fillId="0" borderId="3" xfId="1" applyFont="1" applyBorder="1"/>
    <xf numFmtId="0" fontId="14" fillId="0" borderId="0" xfId="0" applyFont="1"/>
    <xf numFmtId="0" fontId="13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1" fillId="0" borderId="0" xfId="0" applyFont="1" applyFill="1"/>
    <xf numFmtId="0" fontId="5" fillId="0" borderId="0" xfId="0" applyFont="1"/>
    <xf numFmtId="0" fontId="1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3" fillId="0" borderId="0" xfId="0" applyFont="1"/>
    <xf numFmtId="11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9" xfId="5" applyNumberFormat="1" applyFont="1" applyFill="1" applyBorder="1" applyAlignment="1" applyProtection="1">
      <alignment horizontal="center" vertical="center"/>
      <protection locked="0"/>
    </xf>
    <xf numFmtId="166" fontId="1" fillId="0" borderId="9" xfId="4" applyNumberFormat="1" applyFont="1" applyFill="1" applyBorder="1" applyAlignment="1" applyProtection="1">
      <alignment horizontal="center" vertical="center"/>
      <protection locked="0"/>
    </xf>
    <xf numFmtId="11" fontId="16" fillId="0" borderId="9" xfId="0" applyNumberFormat="1" applyFont="1" applyFill="1" applyBorder="1" applyAlignment="1" applyProtection="1">
      <alignment vertical="center"/>
      <protection locked="0"/>
    </xf>
    <xf numFmtId="166" fontId="1" fillId="9" borderId="9" xfId="4" applyNumberFormat="1" applyFont="1" applyFill="1" applyBorder="1" applyAlignment="1">
      <alignment horizontal="center" vertical="center"/>
    </xf>
    <xf numFmtId="11" fontId="1" fillId="0" borderId="19" xfId="0" applyNumberFormat="1" applyFont="1" applyFill="1" applyBorder="1" applyAlignment="1" applyProtection="1">
      <alignment vertical="center"/>
      <protection locked="0"/>
    </xf>
    <xf numFmtId="0" fontId="3" fillId="0" borderId="4" xfId="0" applyFont="1" applyBorder="1" applyAlignment="1">
      <alignment vertical="center"/>
    </xf>
    <xf numFmtId="165" fontId="1" fillId="0" borderId="0" xfId="5" applyNumberFormat="1" applyFont="1" applyFill="1" applyBorder="1" applyAlignment="1" applyProtection="1">
      <alignment horizontal="center" wrapText="1"/>
      <protection locked="0"/>
    </xf>
    <xf numFmtId="0" fontId="3" fillId="0" borderId="0" xfId="5" applyNumberFormat="1" applyFont="1" applyBorder="1" applyAlignment="1">
      <alignment horizontal="center" vertical="center"/>
    </xf>
    <xf numFmtId="165" fontId="3" fillId="0" borderId="0" xfId="5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166" fontId="3" fillId="2" borderId="4" xfId="4" applyNumberFormat="1" applyFont="1" applyFill="1" applyBorder="1" applyAlignment="1">
      <alignment horizontal="right" vertical="center"/>
    </xf>
    <xf numFmtId="0" fontId="0" fillId="9" borderId="0" xfId="0" applyFill="1"/>
    <xf numFmtId="0" fontId="1" fillId="0" borderId="3" xfId="1" applyFont="1" applyFill="1" applyBorder="1" applyProtection="1">
      <protection locked="0"/>
    </xf>
    <xf numFmtId="166" fontId="1" fillId="0" borderId="9" xfId="4" applyNumberFormat="1" applyFont="1" applyFill="1" applyBorder="1" applyAlignment="1">
      <alignment horizontal="center" vertical="center"/>
    </xf>
    <xf numFmtId="165" fontId="1" fillId="4" borderId="9" xfId="3" applyFont="1" applyFill="1" applyBorder="1" applyAlignment="1" applyProtection="1">
      <alignment horizontal="center"/>
      <protection locked="0"/>
    </xf>
    <xf numFmtId="0" fontId="1" fillId="4" borderId="9" xfId="1" applyFont="1" applyFill="1" applyBorder="1" applyAlignment="1" applyProtection="1">
      <alignment horizontal="center"/>
      <protection locked="0"/>
    </xf>
    <xf numFmtId="165" fontId="1" fillId="3" borderId="13" xfId="3" applyFont="1" applyFill="1" applyBorder="1" applyAlignment="1" applyProtection="1">
      <alignment horizontal="center"/>
    </xf>
    <xf numFmtId="43" fontId="2" fillId="0" borderId="0" xfId="1" applyNumberFormat="1" applyFont="1"/>
    <xf numFmtId="43" fontId="2" fillId="0" borderId="0" xfId="1" applyNumberFormat="1" applyFont="1" applyAlignment="1">
      <alignment horizontal="center" vertical="center"/>
    </xf>
    <xf numFmtId="164" fontId="3" fillId="2" borderId="4" xfId="4" applyFont="1" applyFill="1" applyBorder="1" applyAlignment="1">
      <alignment horizontal="left"/>
    </xf>
    <xf numFmtId="0" fontId="1" fillId="0" borderId="2" xfId="1" applyFont="1" applyBorder="1"/>
    <xf numFmtId="10" fontId="3" fillId="5" borderId="4" xfId="2" applyNumberFormat="1" applyFont="1" applyFill="1" applyBorder="1" applyAlignment="1" applyProtection="1">
      <alignment vertical="center"/>
    </xf>
    <xf numFmtId="0" fontId="1" fillId="0" borderId="0" xfId="1" applyFont="1" applyBorder="1"/>
    <xf numFmtId="0" fontId="1" fillId="0" borderId="0" xfId="1" applyFont="1"/>
    <xf numFmtId="0" fontId="3" fillId="9" borderId="0" xfId="1" applyFont="1" applyFill="1" applyAlignment="1">
      <alignment horizontal="left" vertical="center"/>
    </xf>
    <xf numFmtId="0" fontId="3" fillId="9" borderId="0" xfId="1" applyFont="1" applyFill="1" applyAlignment="1">
      <alignment horizontal="left"/>
    </xf>
    <xf numFmtId="165" fontId="5" fillId="9" borderId="0" xfId="3" applyFont="1" applyFill="1" applyBorder="1" applyAlignment="1" applyProtection="1">
      <alignment vertical="center"/>
    </xf>
    <xf numFmtId="0" fontId="1" fillId="0" borderId="8" xfId="1" applyFont="1" applyBorder="1"/>
    <xf numFmtId="0" fontId="1" fillId="0" borderId="9" xfId="1" applyFont="1" applyFill="1" applyBorder="1" applyProtection="1">
      <protection locked="0"/>
    </xf>
    <xf numFmtId="165" fontId="1" fillId="3" borderId="9" xfId="3" applyFont="1" applyFill="1" applyBorder="1" applyAlignment="1" applyProtection="1">
      <alignment horizontal="center"/>
    </xf>
    <xf numFmtId="165" fontId="3" fillId="5" borderId="1" xfId="1" applyNumberFormat="1" applyFont="1" applyFill="1" applyBorder="1" applyAlignment="1" applyProtection="1">
      <alignment horizontal="right" vertical="center"/>
    </xf>
    <xf numFmtId="10" fontId="1" fillId="4" borderId="8" xfId="1" applyNumberFormat="1" applyFont="1" applyFill="1" applyBorder="1" applyAlignment="1" applyProtection="1">
      <alignment horizontal="center"/>
      <protection locked="0"/>
    </xf>
    <xf numFmtId="10" fontId="1" fillId="4" borderId="9" xfId="1" applyNumberFormat="1" applyFont="1" applyFill="1" applyBorder="1" applyAlignment="1" applyProtection="1">
      <alignment horizontal="center"/>
      <protection locked="0"/>
    </xf>
    <xf numFmtId="43" fontId="1" fillId="0" borderId="0" xfId="1" applyNumberFormat="1" applyFont="1"/>
    <xf numFmtId="0" fontId="1" fillId="0" borderId="14" xfId="1" applyFont="1" applyBorder="1"/>
    <xf numFmtId="10" fontId="1" fillId="4" borderId="14" xfId="1" applyNumberFormat="1" applyFont="1" applyFill="1" applyBorder="1" applyAlignment="1" applyProtection="1">
      <alignment horizontal="center"/>
      <protection locked="0"/>
    </xf>
    <xf numFmtId="10" fontId="1" fillId="0" borderId="0" xfId="1" applyNumberFormat="1" applyFont="1" applyAlignment="1">
      <alignment horizontal="center"/>
    </xf>
    <xf numFmtId="43" fontId="1" fillId="0" borderId="0" xfId="1" applyNumberFormat="1" applyFont="1" applyAlignment="1">
      <alignment horizontal="center" vertical="center"/>
    </xf>
    <xf numFmtId="0" fontId="1" fillId="0" borderId="14" xfId="1" applyFont="1" applyFill="1" applyBorder="1" applyProtection="1">
      <protection locked="0"/>
    </xf>
    <xf numFmtId="0" fontId="14" fillId="0" borderId="4" xfId="0" applyFont="1" applyFill="1" applyBorder="1" applyAlignment="1">
      <alignment horizontal="right"/>
    </xf>
    <xf numFmtId="165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4" xfId="3" applyNumberFormat="1" applyFont="1" applyFill="1" applyBorder="1" applyAlignment="1" applyProtection="1">
      <alignment horizontal="center" vertical="center"/>
      <protection locked="0"/>
    </xf>
    <xf numFmtId="167" fontId="1" fillId="0" borderId="4" xfId="0" applyNumberFormat="1" applyFont="1" applyBorder="1" applyAlignment="1">
      <alignment horizontal="center"/>
    </xf>
    <xf numFmtId="164" fontId="1" fillId="0" borderId="4" xfId="4" applyFont="1" applyBorder="1" applyAlignment="1">
      <alignment horizontal="center" vertical="center"/>
    </xf>
    <xf numFmtId="164" fontId="3" fillId="9" borderId="4" xfId="0" applyNumberFormat="1" applyFont="1" applyFill="1" applyBorder="1"/>
    <xf numFmtId="164" fontId="3" fillId="10" borderId="0" xfId="0" applyNumberFormat="1" applyFont="1" applyFill="1"/>
    <xf numFmtId="11" fontId="16" fillId="0" borderId="8" xfId="0" applyNumberFormat="1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165" fontId="1" fillId="0" borderId="8" xfId="5" applyNumberFormat="1" applyFont="1" applyFill="1" applyBorder="1" applyAlignment="1" applyProtection="1">
      <alignment horizontal="center" wrapText="1"/>
      <protection locked="0"/>
    </xf>
    <xf numFmtId="0" fontId="1" fillId="0" borderId="8" xfId="5" applyNumberFormat="1" applyFont="1" applyFill="1" applyBorder="1" applyAlignment="1" applyProtection="1">
      <alignment horizontal="center" vertical="center"/>
      <protection locked="0"/>
    </xf>
    <xf numFmtId="165" fontId="3" fillId="9" borderId="8" xfId="5" applyNumberFormat="1" applyFont="1" applyFill="1" applyBorder="1" applyAlignment="1">
      <alignment horizontal="center" vertical="center"/>
    </xf>
    <xf numFmtId="164" fontId="0" fillId="0" borderId="0" xfId="4" applyFont="1"/>
    <xf numFmtId="2" fontId="1" fillId="9" borderId="9" xfId="4" applyNumberFormat="1" applyFont="1" applyFill="1" applyBorder="1" applyAlignment="1" applyProtection="1">
      <alignment horizontal="center" wrapText="1"/>
      <protection locked="0"/>
    </xf>
    <xf numFmtId="0" fontId="1" fillId="0" borderId="9" xfId="0" applyFont="1" applyFill="1" applyBorder="1" applyAlignment="1" applyProtection="1">
      <alignment vertical="center"/>
      <protection locked="0"/>
    </xf>
    <xf numFmtId="165" fontId="1" fillId="0" borderId="9" xfId="5" applyNumberFormat="1" applyFont="1" applyFill="1" applyBorder="1" applyAlignment="1" applyProtection="1">
      <alignment horizontal="center" wrapText="1"/>
      <protection locked="0"/>
    </xf>
    <xf numFmtId="165" fontId="1" fillId="0" borderId="9" xfId="5" applyNumberFormat="1" applyFont="1" applyFill="1" applyBorder="1" applyAlignment="1" applyProtection="1">
      <alignment horizontal="center" vertical="center"/>
      <protection locked="0"/>
    </xf>
    <xf numFmtId="165" fontId="1" fillId="9" borderId="9" xfId="5" applyNumberFormat="1" applyFont="1" applyFill="1" applyBorder="1" applyAlignment="1">
      <alignment horizontal="center" vertical="center"/>
    </xf>
    <xf numFmtId="164" fontId="0" fillId="10" borderId="0" xfId="4" applyFont="1" applyFill="1"/>
    <xf numFmtId="0" fontId="3" fillId="0" borderId="9" xfId="0" applyFont="1" applyFill="1" applyBorder="1" applyAlignment="1" applyProtection="1">
      <alignment horizontal="center"/>
      <protection locked="0"/>
    </xf>
    <xf numFmtId="165" fontId="3" fillId="9" borderId="9" xfId="5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 applyProtection="1">
      <alignment horizontal="center"/>
      <protection locked="0"/>
    </xf>
    <xf numFmtId="9" fontId="1" fillId="0" borderId="9" xfId="2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/>
    </xf>
    <xf numFmtId="0" fontId="3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11" borderId="8" xfId="0" applyFont="1" applyFill="1" applyBorder="1"/>
    <xf numFmtId="10" fontId="3" fillId="12" borderId="8" xfId="0" applyNumberFormat="1" applyFont="1" applyFill="1" applyBorder="1" applyAlignment="1" applyProtection="1">
      <alignment horizontal="center"/>
      <protection locked="0"/>
    </xf>
    <xf numFmtId="165" fontId="3" fillId="9" borderId="25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11" borderId="9" xfId="0" applyFont="1" applyFill="1" applyBorder="1"/>
    <xf numFmtId="10" fontId="1" fillId="0" borderId="9" xfId="0" applyNumberFormat="1" applyFont="1" applyFill="1" applyBorder="1" applyAlignment="1" applyProtection="1">
      <alignment horizontal="center"/>
      <protection locked="0"/>
    </xf>
    <xf numFmtId="166" fontId="1" fillId="9" borderId="26" xfId="4" applyNumberFormat="1" applyFont="1" applyFill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3" fillId="11" borderId="9" xfId="0" applyFont="1" applyFill="1" applyBorder="1"/>
    <xf numFmtId="10" fontId="3" fillId="0" borderId="9" xfId="0" applyNumberFormat="1" applyFont="1" applyFill="1" applyBorder="1" applyAlignment="1" applyProtection="1">
      <alignment horizontal="center"/>
      <protection locked="0"/>
    </xf>
    <xf numFmtId="165" fontId="3" fillId="9" borderId="26" xfId="0" applyNumberFormat="1" applyFont="1" applyFill="1" applyBorder="1" applyAlignment="1">
      <alignment horizontal="center"/>
    </xf>
    <xf numFmtId="10" fontId="1" fillId="0" borderId="26" xfId="2" applyNumberFormat="1" applyFont="1" applyFill="1" applyBorder="1" applyAlignment="1">
      <alignment horizontal="center"/>
    </xf>
    <xf numFmtId="10" fontId="19" fillId="0" borderId="9" xfId="0" applyNumberFormat="1" applyFont="1" applyFill="1" applyBorder="1" applyAlignment="1" applyProtection="1">
      <alignment horizontal="center"/>
      <protection locked="0"/>
    </xf>
    <xf numFmtId="166" fontId="3" fillId="9" borderId="26" xfId="4" applyNumberFormat="1" applyFont="1" applyFill="1" applyBorder="1" applyAlignment="1">
      <alignment horizontal="center"/>
    </xf>
    <xf numFmtId="10" fontId="3" fillId="12" borderId="9" xfId="0" applyNumberFormat="1" applyFont="1" applyFill="1" applyBorder="1" applyAlignment="1" applyProtection="1">
      <alignment horizontal="center"/>
      <protection locked="0"/>
    </xf>
    <xf numFmtId="10" fontId="1" fillId="12" borderId="9" xfId="0" applyNumberFormat="1" applyFont="1" applyFill="1" applyBorder="1" applyAlignment="1" applyProtection="1">
      <alignment horizontal="center"/>
      <protection locked="0"/>
    </xf>
    <xf numFmtId="0" fontId="1" fillId="11" borderId="14" xfId="0" applyFont="1" applyFill="1" applyBorder="1"/>
    <xf numFmtId="10" fontId="1" fillId="12" borderId="14" xfId="0" applyNumberFormat="1" applyFont="1" applyFill="1" applyBorder="1" applyAlignment="1" applyProtection="1">
      <alignment horizontal="center"/>
      <protection locked="0"/>
    </xf>
    <xf numFmtId="165" fontId="1" fillId="9" borderId="27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left" vertical="center"/>
    </xf>
    <xf numFmtId="10" fontId="3" fillId="5" borderId="4" xfId="0" applyNumberFormat="1" applyFont="1" applyFill="1" applyBorder="1" applyAlignment="1">
      <alignment horizontal="center" vertical="center"/>
    </xf>
    <xf numFmtId="166" fontId="3" fillId="5" borderId="4" xfId="4" applyNumberFormat="1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horizontal="left"/>
    </xf>
    <xf numFmtId="10" fontId="1" fillId="0" borderId="0" xfId="2" applyNumberFormat="1" applyFont="1" applyFill="1" applyBorder="1" applyAlignment="1">
      <alignment horizontal="center"/>
    </xf>
    <xf numFmtId="9" fontId="1" fillId="0" borderId="0" xfId="2" applyFont="1" applyFill="1" applyBorder="1" applyAlignment="1">
      <alignment horizontal="center"/>
    </xf>
    <xf numFmtId="0" fontId="3" fillId="0" borderId="0" xfId="0" applyFont="1" applyAlignment="1">
      <alignment horizontal="right" vertical="center"/>
    </xf>
    <xf numFmtId="165" fontId="1" fillId="0" borderId="0" xfId="0" applyNumberFormat="1" applyFont="1"/>
    <xf numFmtId="0" fontId="3" fillId="5" borderId="6" xfId="0" applyFont="1" applyFill="1" applyBorder="1" applyAlignment="1">
      <alignment horizontal="center" vertical="center"/>
    </xf>
    <xf numFmtId="10" fontId="1" fillId="4" borderId="9" xfId="1" applyNumberFormat="1" applyFont="1" applyFill="1" applyBorder="1" applyAlignment="1" applyProtection="1">
      <alignment horizontal="left"/>
      <protection locked="0"/>
    </xf>
    <xf numFmtId="165" fontId="1" fillId="3" borderId="9" xfId="1" applyNumberFormat="1" applyFont="1" applyFill="1" applyBorder="1" applyAlignment="1" applyProtection="1">
      <alignment horizontal="center"/>
    </xf>
    <xf numFmtId="0" fontId="1" fillId="0" borderId="0" xfId="1" applyFont="1" applyAlignment="1">
      <alignment horizontal="right"/>
    </xf>
    <xf numFmtId="0" fontId="1" fillId="0" borderId="24" xfId="1" applyFont="1" applyFill="1" applyBorder="1" applyProtection="1">
      <protection locked="0"/>
    </xf>
    <xf numFmtId="44" fontId="14" fillId="0" borderId="0" xfId="0" applyNumberFormat="1" applyFont="1"/>
    <xf numFmtId="0" fontId="1" fillId="4" borderId="14" xfId="1" applyNumberFormat="1" applyFont="1" applyFill="1" applyBorder="1" applyAlignment="1" applyProtection="1">
      <alignment horizontal="center"/>
      <protection locked="0"/>
    </xf>
    <xf numFmtId="22" fontId="1" fillId="0" borderId="9" xfId="2" applyNumberFormat="1" applyFont="1" applyFill="1" applyBorder="1" applyAlignment="1" applyProtection="1">
      <alignment horizontal="center" vertical="center"/>
      <protection locked="0"/>
    </xf>
    <xf numFmtId="0" fontId="1" fillId="3" borderId="6" xfId="1" applyFont="1" applyFill="1" applyBorder="1" applyAlignment="1">
      <alignment vertical="center"/>
    </xf>
    <xf numFmtId="0" fontId="1" fillId="3" borderId="7" xfId="1" applyFont="1" applyFill="1" applyBorder="1" applyAlignment="1">
      <alignment vertical="center"/>
    </xf>
    <xf numFmtId="164" fontId="3" fillId="9" borderId="0" xfId="4" applyFont="1" applyFill="1" applyBorder="1" applyAlignment="1">
      <alignment horizontal="left"/>
    </xf>
    <xf numFmtId="165" fontId="1" fillId="3" borderId="8" xfId="3" applyFont="1" applyFill="1" applyBorder="1" applyAlignment="1" applyProtection="1">
      <alignment horizontal="center"/>
    </xf>
    <xf numFmtId="165" fontId="1" fillId="3" borderId="14" xfId="3" applyFont="1" applyFill="1" applyBorder="1" applyAlignment="1" applyProtection="1">
      <alignment horizontal="center"/>
    </xf>
    <xf numFmtId="0" fontId="1" fillId="0" borderId="16" xfId="1" applyFont="1" applyFill="1" applyBorder="1" applyProtection="1">
      <protection locked="0"/>
    </xf>
    <xf numFmtId="10" fontId="1" fillId="4" borderId="1" xfId="1" applyNumberFormat="1" applyFont="1" applyFill="1" applyBorder="1" applyAlignment="1" applyProtection="1">
      <alignment horizontal="center"/>
      <protection locked="0"/>
    </xf>
    <xf numFmtId="165" fontId="1" fillId="3" borderId="1" xfId="3" applyFont="1" applyFill="1" applyBorder="1" applyAlignment="1" applyProtection="1">
      <alignment horizontal="center"/>
    </xf>
    <xf numFmtId="0" fontId="1" fillId="5" borderId="7" xfId="1" applyFont="1" applyFill="1" applyBorder="1" applyAlignment="1">
      <alignment vertical="center"/>
    </xf>
    <xf numFmtId="0" fontId="1" fillId="0" borderId="1" xfId="1" applyFont="1" applyBorder="1"/>
    <xf numFmtId="0" fontId="3" fillId="9" borderId="0" xfId="1" applyFont="1" applyFill="1" applyBorder="1" applyAlignment="1">
      <alignment vertical="center"/>
    </xf>
    <xf numFmtId="0" fontId="1" fillId="9" borderId="0" xfId="1" applyFont="1" applyFill="1" applyBorder="1" applyAlignment="1">
      <alignment vertical="center"/>
    </xf>
    <xf numFmtId="164" fontId="2" fillId="4" borderId="14" xfId="4" applyFont="1" applyFill="1" applyBorder="1" applyAlignment="1" applyProtection="1">
      <alignment horizontal="center"/>
      <protection locked="0"/>
    </xf>
    <xf numFmtId="0" fontId="10" fillId="6" borderId="21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166" fontId="3" fillId="5" borderId="5" xfId="4" applyNumberFormat="1" applyFont="1" applyFill="1" applyBorder="1" applyAlignment="1">
      <alignment horizontal="center" vertical="center"/>
    </xf>
    <xf numFmtId="166" fontId="3" fillId="5" borderId="7" xfId="4" applyNumberFormat="1" applyFont="1" applyFill="1" applyBorder="1" applyAlignment="1">
      <alignment horizontal="center" vertical="center"/>
    </xf>
  </cellXfs>
  <cellStyles count="6">
    <cellStyle name="Moeda" xfId="4" builtinId="4"/>
    <cellStyle name="Normal" xfId="0" builtinId="0"/>
    <cellStyle name="Normal 2" xfId="1"/>
    <cellStyle name="Porcentagem 2" xfId="2"/>
    <cellStyle name="Vírgula" xfId="5" builtinId="3"/>
    <cellStyle name="Vírgula 2" xfId="3"/>
  </cellStyles>
  <dxfs count="0"/>
  <tableStyles count="0" defaultTableStyle="TableStyleMedium2" defaultPivotStyle="PivotStyleLight16"/>
  <colors>
    <mruColors>
      <color rgb="FFC0E2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390526</xdr:colOff>
      <xdr:row>2</xdr:row>
      <xdr:rowOff>9525</xdr:rowOff>
    </xdr:from>
    <xdr:to>
      <xdr:col>5</xdr:col>
      <xdr:colOff>0</xdr:colOff>
      <xdr:row>5</xdr:row>
      <xdr:rowOff>89985</xdr:rowOff>
    </xdr:to>
    <xdr:pic>
      <xdr:nvPicPr>
        <xdr:cNvPr id="2" name="Imagem 1" descr="MARCA_corporativ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1" y="419100"/>
          <a:ext cx="3076575" cy="65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4"/>
  <sheetViews>
    <sheetView showGridLines="0" tabSelected="1" view="pageBreakPreview" topLeftCell="A155" zoomScaleNormal="90" zoomScaleSheetLayoutView="100" workbookViewId="0">
      <selection activeCell="I157" sqref="I157"/>
    </sheetView>
  </sheetViews>
  <sheetFormatPr defaultRowHeight="15" x14ac:dyDescent="0.25"/>
  <cols>
    <col min="1" max="1" width="50.42578125" customWidth="1"/>
    <col min="2" max="2" width="13.140625" customWidth="1"/>
    <col min="3" max="3" width="24.28515625" customWidth="1"/>
    <col min="4" max="4" width="12" customWidth="1"/>
    <col min="5" max="5" width="16.140625" customWidth="1"/>
    <col min="6" max="6" width="12" customWidth="1"/>
  </cols>
  <sheetData>
    <row r="1" spans="1:5" ht="7.5" customHeight="1" thickBot="1" x14ac:dyDescent="0.3"/>
    <row r="2" spans="1:5" ht="24.75" customHeight="1" thickBot="1" x14ac:dyDescent="0.3">
      <c r="A2" s="227" t="s">
        <v>58</v>
      </c>
      <c r="B2" s="228"/>
      <c r="C2" s="228"/>
      <c r="D2" s="228"/>
      <c r="E2" s="229"/>
    </row>
    <row r="4" spans="1:5" x14ac:dyDescent="0.25">
      <c r="A4" s="52" t="s">
        <v>0</v>
      </c>
      <c r="B4" s="50" t="s">
        <v>1</v>
      </c>
      <c r="C4" s="50"/>
      <c r="D4" s="50"/>
      <c r="E4" s="50"/>
    </row>
    <row r="5" spans="1:5" x14ac:dyDescent="0.25">
      <c r="A5" s="2"/>
      <c r="B5" s="2"/>
      <c r="C5" s="2"/>
      <c r="D5" s="2"/>
      <c r="E5" s="2"/>
    </row>
    <row r="6" spans="1:5" x14ac:dyDescent="0.25">
      <c r="A6" s="6" t="s">
        <v>2</v>
      </c>
      <c r="B6" s="2"/>
      <c r="C6" s="2"/>
      <c r="D6" s="2"/>
      <c r="E6" s="2"/>
    </row>
    <row r="7" spans="1:5" ht="25.5" x14ac:dyDescent="0.25">
      <c r="A7" s="33" t="s">
        <v>3</v>
      </c>
      <c r="B7" s="47" t="s">
        <v>85</v>
      </c>
      <c r="C7" s="47" t="s">
        <v>92</v>
      </c>
      <c r="D7" s="33" t="s">
        <v>4</v>
      </c>
      <c r="E7" s="33" t="s">
        <v>5</v>
      </c>
    </row>
    <row r="8" spans="1:5" x14ac:dyDescent="0.25">
      <c r="A8" s="34" t="s">
        <v>98</v>
      </c>
      <c r="B8" s="35">
        <v>25</v>
      </c>
      <c r="C8" s="36">
        <f>E8/B8/D8</f>
        <v>629.20800000000008</v>
      </c>
      <c r="D8" s="37">
        <v>1</v>
      </c>
      <c r="E8" s="61">
        <v>15730.2</v>
      </c>
    </row>
    <row r="9" spans="1:5" x14ac:dyDescent="0.25">
      <c r="A9" s="34" t="s">
        <v>99</v>
      </c>
      <c r="B9" s="35">
        <v>40</v>
      </c>
      <c r="C9" s="36">
        <f t="shared" ref="C9:C17" si="0">E9/B9/D9</f>
        <v>311.64952000000005</v>
      </c>
      <c r="D9" s="37">
        <v>1</v>
      </c>
      <c r="E9" s="61">
        <v>12465.980800000001</v>
      </c>
    </row>
    <row r="10" spans="1:5" x14ac:dyDescent="0.25">
      <c r="A10" s="34" t="s">
        <v>100</v>
      </c>
      <c r="B10" s="35">
        <v>25</v>
      </c>
      <c r="C10" s="36">
        <f t="shared" si="0"/>
        <v>330.9897949090909</v>
      </c>
      <c r="D10" s="37">
        <v>2</v>
      </c>
      <c r="E10" s="61">
        <v>16549.489745454546</v>
      </c>
    </row>
    <row r="11" spans="1:5" x14ac:dyDescent="0.25">
      <c r="A11" s="34" t="s">
        <v>102</v>
      </c>
      <c r="B11" s="35">
        <v>25</v>
      </c>
      <c r="C11" s="36">
        <f t="shared" si="0"/>
        <v>192.38950545454546</v>
      </c>
      <c r="D11" s="37">
        <v>1</v>
      </c>
      <c r="E11" s="61">
        <v>4809.7376363636367</v>
      </c>
    </row>
    <row r="12" spans="1:5" x14ac:dyDescent="0.25">
      <c r="A12" s="34" t="s">
        <v>103</v>
      </c>
      <c r="B12" s="35">
        <v>25</v>
      </c>
      <c r="C12" s="36">
        <f t="shared" si="0"/>
        <v>304.096</v>
      </c>
      <c r="D12" s="37">
        <v>4</v>
      </c>
      <c r="E12" s="61">
        <v>30409.599999999999</v>
      </c>
    </row>
    <row r="13" spans="1:5" x14ac:dyDescent="0.25">
      <c r="A13" s="34" t="s">
        <v>90</v>
      </c>
      <c r="B13" s="35">
        <v>25</v>
      </c>
      <c r="C13" s="36">
        <f t="shared" si="0"/>
        <v>178.708</v>
      </c>
      <c r="D13" s="37">
        <v>20</v>
      </c>
      <c r="E13" s="61">
        <v>89354</v>
      </c>
    </row>
    <row r="14" spans="1:5" x14ac:dyDescent="0.25">
      <c r="A14" s="34" t="s">
        <v>93</v>
      </c>
      <c r="B14" s="35">
        <v>25</v>
      </c>
      <c r="C14" s="36">
        <f t="shared" si="0"/>
        <v>98.04</v>
      </c>
      <c r="D14" s="37">
        <v>16</v>
      </c>
      <c r="E14" s="61">
        <v>39216</v>
      </c>
    </row>
    <row r="15" spans="1:5" x14ac:dyDescent="0.25">
      <c r="A15" s="34" t="s">
        <v>82</v>
      </c>
      <c r="B15" s="35">
        <v>25</v>
      </c>
      <c r="C15" s="36">
        <f t="shared" si="0"/>
        <v>160.476</v>
      </c>
      <c r="D15" s="37">
        <v>4</v>
      </c>
      <c r="E15" s="61">
        <v>16047.6</v>
      </c>
    </row>
    <row r="16" spans="1:5" x14ac:dyDescent="0.25">
      <c r="A16" s="34" t="s">
        <v>104</v>
      </c>
      <c r="B16" s="35">
        <v>25</v>
      </c>
      <c r="C16" s="36">
        <f t="shared" si="0"/>
        <v>162.78080000000003</v>
      </c>
      <c r="D16" s="37">
        <v>6</v>
      </c>
      <c r="E16" s="61">
        <v>24417.120000000003</v>
      </c>
    </row>
    <row r="17" spans="1:5" x14ac:dyDescent="0.25">
      <c r="A17" s="34" t="s">
        <v>105</v>
      </c>
      <c r="B17" s="35">
        <v>25</v>
      </c>
      <c r="C17" s="36">
        <f t="shared" si="0"/>
        <v>162.78080000000003</v>
      </c>
      <c r="D17" s="37">
        <v>3</v>
      </c>
      <c r="E17" s="61">
        <v>12208.560000000001</v>
      </c>
    </row>
    <row r="18" spans="1:5" x14ac:dyDescent="0.25">
      <c r="A18" s="34"/>
      <c r="B18" s="35"/>
      <c r="C18" s="36"/>
      <c r="D18" s="37"/>
      <c r="E18" s="61">
        <f t="shared" ref="E18:E19" si="1">C18*B18*D18</f>
        <v>0</v>
      </c>
    </row>
    <row r="19" spans="1:5" x14ac:dyDescent="0.25">
      <c r="A19" s="34"/>
      <c r="B19" s="35"/>
      <c r="C19" s="36"/>
      <c r="D19" s="97"/>
      <c r="E19" s="98">
        <f t="shared" si="1"/>
        <v>0</v>
      </c>
    </row>
    <row r="20" spans="1:5" x14ac:dyDescent="0.25">
      <c r="A20" s="24" t="s">
        <v>6</v>
      </c>
      <c r="B20" s="22"/>
      <c r="C20" s="23"/>
      <c r="D20" s="25"/>
      <c r="E20" s="62">
        <f>SUM(E8:E19)</f>
        <v>261208.28818181818</v>
      </c>
    </row>
    <row r="21" spans="1:5" x14ac:dyDescent="0.25">
      <c r="A21" s="58" t="s">
        <v>7</v>
      </c>
      <c r="B21" s="59"/>
      <c r="C21" s="59"/>
      <c r="D21" s="60"/>
      <c r="E21" s="63">
        <f>E20*30%</f>
        <v>78362.486454545447</v>
      </c>
    </row>
    <row r="22" spans="1:5" x14ac:dyDescent="0.25">
      <c r="A22" s="19"/>
      <c r="B22" s="3"/>
      <c r="C22" s="21"/>
      <c r="D22" s="20"/>
      <c r="E22" s="20"/>
    </row>
    <row r="23" spans="1:5" x14ac:dyDescent="0.25">
      <c r="A23" s="2"/>
      <c r="B23" s="2"/>
      <c r="C23" s="83"/>
      <c r="D23" s="83" t="s">
        <v>8</v>
      </c>
      <c r="E23" s="84">
        <f>E20+E21</f>
        <v>339570.77463636361</v>
      </c>
    </row>
    <row r="24" spans="1:5" x14ac:dyDescent="0.25">
      <c r="A24" s="2"/>
      <c r="B24" s="2"/>
      <c r="C24" s="2"/>
      <c r="D24" s="2"/>
      <c r="E24" s="2"/>
    </row>
    <row r="25" spans="1:5" x14ac:dyDescent="0.25">
      <c r="A25" s="6" t="s">
        <v>9</v>
      </c>
      <c r="B25" s="2"/>
      <c r="C25" s="2"/>
      <c r="D25" s="2"/>
    </row>
    <row r="26" spans="1:5" x14ac:dyDescent="0.25">
      <c r="A26" s="42" t="s">
        <v>10</v>
      </c>
      <c r="B26" s="42" t="s">
        <v>11</v>
      </c>
      <c r="C26" s="42" t="s">
        <v>12</v>
      </c>
      <c r="D26" s="7"/>
    </row>
    <row r="27" spans="1:5" x14ac:dyDescent="0.25">
      <c r="A27" s="75"/>
      <c r="B27" s="75"/>
      <c r="C27" s="75"/>
      <c r="D27" s="1"/>
    </row>
    <row r="28" spans="1:5" x14ac:dyDescent="0.25">
      <c r="A28" s="76" t="s">
        <v>13</v>
      </c>
      <c r="B28" s="132">
        <v>0.85</v>
      </c>
      <c r="C28" s="78">
        <f>E23*B28</f>
        <v>288635.15844090906</v>
      </c>
      <c r="D28" s="8"/>
      <c r="E28" s="2"/>
    </row>
    <row r="29" spans="1:5" x14ac:dyDescent="0.25">
      <c r="A29" s="2"/>
      <c r="B29" s="7"/>
      <c r="C29" s="2"/>
      <c r="D29" s="2"/>
      <c r="E29" s="2"/>
    </row>
    <row r="30" spans="1:5" x14ac:dyDescent="0.25">
      <c r="A30" s="9"/>
      <c r="B30" s="2"/>
      <c r="C30" s="85"/>
      <c r="D30" s="86" t="s">
        <v>14</v>
      </c>
      <c r="E30" s="87">
        <f>E23+C28</f>
        <v>628205.93307727273</v>
      </c>
    </row>
    <row r="31" spans="1:5" x14ac:dyDescent="0.25">
      <c r="A31" s="30" t="s">
        <v>127</v>
      </c>
      <c r="B31" s="134"/>
      <c r="C31" s="134"/>
      <c r="D31" s="134"/>
      <c r="E31" s="134"/>
    </row>
    <row r="32" spans="1:5" ht="25.5" x14ac:dyDescent="0.25">
      <c r="A32" s="47" t="s">
        <v>15</v>
      </c>
      <c r="B32" s="47" t="s">
        <v>16</v>
      </c>
      <c r="C32" s="47" t="s">
        <v>17</v>
      </c>
      <c r="D32" s="77" t="s">
        <v>18</v>
      </c>
      <c r="E32" s="134"/>
    </row>
    <row r="33" spans="1:5" x14ac:dyDescent="0.25">
      <c r="A33" s="207" t="s">
        <v>128</v>
      </c>
      <c r="B33" s="96">
        <v>1</v>
      </c>
      <c r="C33" s="125">
        <v>1800</v>
      </c>
      <c r="D33" s="208">
        <f>C33*B33</f>
        <v>1800</v>
      </c>
      <c r="E33" s="134"/>
    </row>
    <row r="34" spans="1:5" x14ac:dyDescent="0.25">
      <c r="A34" s="207" t="s">
        <v>129</v>
      </c>
      <c r="B34" s="96">
        <v>1</v>
      </c>
      <c r="C34" s="125">
        <v>1400</v>
      </c>
      <c r="D34" s="208">
        <f t="shared" ref="D34:D45" si="2">C34*B34</f>
        <v>1400</v>
      </c>
      <c r="E34" s="134"/>
    </row>
    <row r="35" spans="1:5" x14ac:dyDescent="0.25">
      <c r="A35" s="207" t="s">
        <v>130</v>
      </c>
      <c r="B35" s="96">
        <v>14</v>
      </c>
      <c r="C35" s="125">
        <v>600</v>
      </c>
      <c r="D35" s="208">
        <f t="shared" si="2"/>
        <v>8400</v>
      </c>
      <c r="E35" s="134"/>
    </row>
    <row r="36" spans="1:5" x14ac:dyDescent="0.25">
      <c r="A36" s="207" t="s">
        <v>131</v>
      </c>
      <c r="B36" s="96">
        <v>1</v>
      </c>
      <c r="C36" s="125">
        <f>110*1.2</f>
        <v>132</v>
      </c>
      <c r="D36" s="208">
        <f t="shared" si="2"/>
        <v>132</v>
      </c>
      <c r="E36" s="134"/>
    </row>
    <row r="37" spans="1:5" x14ac:dyDescent="0.25">
      <c r="A37" s="207" t="s">
        <v>132</v>
      </c>
      <c r="B37" s="96">
        <v>1</v>
      </c>
      <c r="C37" s="125">
        <f>110*1.2</f>
        <v>132</v>
      </c>
      <c r="D37" s="208">
        <f t="shared" si="2"/>
        <v>132</v>
      </c>
      <c r="E37" s="134"/>
    </row>
    <row r="38" spans="1:5" x14ac:dyDescent="0.25">
      <c r="A38" s="207" t="s">
        <v>133</v>
      </c>
      <c r="B38" s="96">
        <v>3</v>
      </c>
      <c r="C38" s="125">
        <f>250*1.2</f>
        <v>300</v>
      </c>
      <c r="D38" s="208">
        <f t="shared" si="2"/>
        <v>900</v>
      </c>
      <c r="E38" s="134"/>
    </row>
    <row r="39" spans="1:5" x14ac:dyDescent="0.25">
      <c r="A39" s="207" t="s">
        <v>134</v>
      </c>
      <c r="B39" s="96" t="s">
        <v>60</v>
      </c>
      <c r="C39" s="125">
        <v>7800</v>
      </c>
      <c r="D39" s="208">
        <f>C39</f>
        <v>7800</v>
      </c>
      <c r="E39" s="134"/>
    </row>
    <row r="40" spans="1:5" x14ac:dyDescent="0.25">
      <c r="A40" s="207" t="s">
        <v>135</v>
      </c>
      <c r="B40" s="96">
        <v>8</v>
      </c>
      <c r="C40" s="125">
        <v>1200</v>
      </c>
      <c r="D40" s="208">
        <f t="shared" si="2"/>
        <v>9600</v>
      </c>
      <c r="E40" s="134"/>
    </row>
    <row r="41" spans="1:5" x14ac:dyDescent="0.25">
      <c r="A41" s="207" t="s">
        <v>136</v>
      </c>
      <c r="B41" s="96">
        <v>60</v>
      </c>
      <c r="C41" s="125">
        <v>180</v>
      </c>
      <c r="D41" s="208">
        <f t="shared" si="2"/>
        <v>10800</v>
      </c>
      <c r="E41" s="134"/>
    </row>
    <row r="42" spans="1:5" x14ac:dyDescent="0.25">
      <c r="A42" s="207" t="s">
        <v>149</v>
      </c>
      <c r="B42" s="96" t="s">
        <v>60</v>
      </c>
      <c r="C42" s="125">
        <v>17860</v>
      </c>
      <c r="D42" s="208">
        <f>C42</f>
        <v>17860</v>
      </c>
      <c r="E42" s="134"/>
    </row>
    <row r="43" spans="1:5" x14ac:dyDescent="0.25">
      <c r="A43" s="207" t="s">
        <v>138</v>
      </c>
      <c r="B43" s="96">
        <v>1</v>
      </c>
      <c r="C43" s="125">
        <v>2400</v>
      </c>
      <c r="D43" s="208">
        <f t="shared" si="2"/>
        <v>2400</v>
      </c>
      <c r="E43" s="134"/>
    </row>
    <row r="44" spans="1:5" x14ac:dyDescent="0.25">
      <c r="A44" s="207" t="s">
        <v>139</v>
      </c>
      <c r="B44" s="96">
        <v>1</v>
      </c>
      <c r="C44" s="125">
        <f>480</f>
        <v>480</v>
      </c>
      <c r="D44" s="208">
        <f t="shared" si="2"/>
        <v>480</v>
      </c>
      <c r="E44" s="134"/>
    </row>
    <row r="45" spans="1:5" x14ac:dyDescent="0.25">
      <c r="A45" s="207" t="s">
        <v>140</v>
      </c>
      <c r="B45" s="96">
        <v>1</v>
      </c>
      <c r="C45" s="125">
        <f>900</f>
        <v>900</v>
      </c>
      <c r="D45" s="208">
        <f t="shared" si="2"/>
        <v>900</v>
      </c>
      <c r="E45" s="134"/>
    </row>
    <row r="46" spans="1:5" x14ac:dyDescent="0.25">
      <c r="A46" s="209"/>
      <c r="B46" s="134"/>
      <c r="C46" s="51" t="s">
        <v>141</v>
      </c>
      <c r="D46" s="64">
        <f>SUM(D33:D45)</f>
        <v>62604</v>
      </c>
    </row>
    <row r="47" spans="1:5" x14ac:dyDescent="0.25">
      <c r="A47" s="30" t="s">
        <v>142</v>
      </c>
      <c r="B47" s="2"/>
      <c r="C47" s="2"/>
      <c r="D47" s="2"/>
    </row>
    <row r="48" spans="1:5" ht="25.5" x14ac:dyDescent="0.25">
      <c r="A48" s="42" t="s">
        <v>15</v>
      </c>
      <c r="B48" s="43" t="s">
        <v>16</v>
      </c>
      <c r="C48" s="38" t="s">
        <v>17</v>
      </c>
      <c r="D48" s="77" t="s">
        <v>18</v>
      </c>
    </row>
    <row r="49" spans="1:5" x14ac:dyDescent="0.25">
      <c r="A49" s="31" t="s">
        <v>19</v>
      </c>
      <c r="B49" s="94" t="s">
        <v>60</v>
      </c>
      <c r="C49" s="41">
        <v>4000</v>
      </c>
      <c r="D49" s="65">
        <f>C49</f>
        <v>4000</v>
      </c>
    </row>
    <row r="50" spans="1:5" x14ac:dyDescent="0.25">
      <c r="A50" s="57" t="s">
        <v>20</v>
      </c>
      <c r="B50" s="96" t="s">
        <v>60</v>
      </c>
      <c r="C50" s="41">
        <v>4800</v>
      </c>
      <c r="D50" s="66">
        <f>C50</f>
        <v>4800</v>
      </c>
    </row>
    <row r="51" spans="1:5" x14ac:dyDescent="0.25">
      <c r="A51" s="93" t="s">
        <v>144</v>
      </c>
      <c r="B51" s="95" t="s">
        <v>60</v>
      </c>
      <c r="C51" s="125">
        <v>9800</v>
      </c>
      <c r="D51" s="208">
        <f>C51</f>
        <v>9800</v>
      </c>
    </row>
    <row r="52" spans="1:5" x14ac:dyDescent="0.25">
      <c r="A52" s="145" t="s">
        <v>147</v>
      </c>
      <c r="B52" s="212" t="s">
        <v>60</v>
      </c>
      <c r="C52" s="125">
        <v>30000</v>
      </c>
      <c r="D52" s="66">
        <f>C52</f>
        <v>30000</v>
      </c>
    </row>
    <row r="53" spans="1:5" x14ac:dyDescent="0.25">
      <c r="A53" s="5"/>
      <c r="B53" s="2"/>
      <c r="C53" s="51" t="s">
        <v>21</v>
      </c>
      <c r="D53" s="64">
        <f>SUM(D49:D52)</f>
        <v>48600</v>
      </c>
    </row>
    <row r="54" spans="1:5" x14ac:dyDescent="0.25">
      <c r="A54" s="30" t="s">
        <v>143</v>
      </c>
      <c r="B54" s="2"/>
      <c r="C54" s="2"/>
      <c r="D54" s="2"/>
    </row>
    <row r="55" spans="1:5" ht="25.5" x14ac:dyDescent="0.25">
      <c r="A55" s="33" t="s">
        <v>15</v>
      </c>
      <c r="B55" s="33" t="s">
        <v>22</v>
      </c>
      <c r="C55" s="33" t="s">
        <v>23</v>
      </c>
      <c r="D55" s="77" t="s">
        <v>18</v>
      </c>
    </row>
    <row r="56" spans="1:5" x14ac:dyDescent="0.25">
      <c r="A56" s="10" t="s">
        <v>24</v>
      </c>
      <c r="B56" s="126">
        <v>58</v>
      </c>
      <c r="C56" s="41">
        <v>650</v>
      </c>
      <c r="D56" s="68">
        <f>B56*C56</f>
        <v>37700</v>
      </c>
      <c r="E56" s="1"/>
    </row>
    <row r="57" spans="1:5" x14ac:dyDescent="0.25">
      <c r="A57" s="10" t="s">
        <v>61</v>
      </c>
      <c r="B57" s="44">
        <v>58</v>
      </c>
      <c r="C57" s="41">
        <v>200</v>
      </c>
      <c r="D57" s="68">
        <f t="shared" ref="D57:D58" si="3">C57*B57</f>
        <v>11600</v>
      </c>
      <c r="E57" s="1"/>
    </row>
    <row r="58" spans="1:5" x14ac:dyDescent="0.25">
      <c r="A58" s="10" t="s">
        <v>62</v>
      </c>
      <c r="B58" s="44">
        <v>58</v>
      </c>
      <c r="C58" s="41">
        <v>35</v>
      </c>
      <c r="D58" s="68">
        <f t="shared" si="3"/>
        <v>2030</v>
      </c>
      <c r="E58" s="1"/>
    </row>
    <row r="59" spans="1:5" x14ac:dyDescent="0.25">
      <c r="A59" s="99" t="s">
        <v>145</v>
      </c>
      <c r="B59" s="126" t="s">
        <v>60</v>
      </c>
      <c r="C59" s="125">
        <f>(58*2*100)</f>
        <v>11600</v>
      </c>
      <c r="D59" s="127">
        <f t="shared" ref="D59" si="4">C59</f>
        <v>11600</v>
      </c>
      <c r="E59" s="1"/>
    </row>
    <row r="60" spans="1:5" x14ac:dyDescent="0.25">
      <c r="A60" s="99" t="s">
        <v>68</v>
      </c>
      <c r="B60" s="126" t="s">
        <v>137</v>
      </c>
      <c r="C60" s="125">
        <f>(0.5*58*470)+(0.5*58*235)</f>
        <v>20445</v>
      </c>
      <c r="D60" s="127">
        <f>C60</f>
        <v>20445</v>
      </c>
      <c r="E60" s="1"/>
    </row>
    <row r="61" spans="1:5" x14ac:dyDescent="0.25">
      <c r="A61" s="10" t="s">
        <v>63</v>
      </c>
      <c r="B61" s="44" t="s">
        <v>60</v>
      </c>
      <c r="C61" s="125">
        <f>(58*2*25*4)</f>
        <v>11600</v>
      </c>
      <c r="D61" s="68">
        <f>C61</f>
        <v>11600</v>
      </c>
      <c r="E61" s="1"/>
    </row>
    <row r="62" spans="1:5" x14ac:dyDescent="0.25">
      <c r="A62" s="123" t="s">
        <v>81</v>
      </c>
      <c r="B62" s="44">
        <v>58</v>
      </c>
      <c r="C62" s="125">
        <v>485.23</v>
      </c>
      <c r="D62" s="68">
        <f t="shared" ref="D62" si="5">C62*B62</f>
        <v>28143.34</v>
      </c>
      <c r="E62" s="1"/>
    </row>
    <row r="63" spans="1:5" x14ac:dyDescent="0.25">
      <c r="A63" s="210" t="s">
        <v>146</v>
      </c>
      <c r="B63" s="126" t="s">
        <v>60</v>
      </c>
      <c r="C63" s="41">
        <v>19874.336579999999</v>
      </c>
      <c r="D63" s="68">
        <f>C63</f>
        <v>19874.336579999999</v>
      </c>
      <c r="E63" s="1"/>
    </row>
    <row r="64" spans="1:5" x14ac:dyDescent="0.25">
      <c r="A64" s="149" t="s">
        <v>160</v>
      </c>
      <c r="B64" s="126" t="s">
        <v>60</v>
      </c>
      <c r="C64" s="41">
        <f>10198.96-984.415</f>
        <v>9214.5449999999983</v>
      </c>
      <c r="D64" s="68">
        <f>C64</f>
        <v>9214.5449999999983</v>
      </c>
      <c r="E64" s="1"/>
    </row>
    <row r="65" spans="1:5" x14ac:dyDescent="0.25">
      <c r="A65" s="1"/>
      <c r="B65" s="54" t="s">
        <v>25</v>
      </c>
      <c r="C65" s="55"/>
      <c r="D65" s="64">
        <f>SUM(D56:D64)</f>
        <v>152207.22158000001</v>
      </c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89" t="s">
        <v>26</v>
      </c>
      <c r="C67" s="90"/>
      <c r="D67" s="91"/>
      <c r="E67" s="92">
        <f>E30+D46+D53+D65</f>
        <v>891617.15465727274</v>
      </c>
    </row>
    <row r="68" spans="1:5" x14ac:dyDescent="0.25">
      <c r="A68" s="52" t="s">
        <v>27</v>
      </c>
      <c r="B68" s="53"/>
      <c r="C68" s="53"/>
      <c r="D68" s="53"/>
      <c r="E68" s="53"/>
    </row>
    <row r="69" spans="1:5" x14ac:dyDescent="0.25">
      <c r="A69" s="2"/>
      <c r="B69" s="2"/>
      <c r="C69" s="2"/>
      <c r="D69" s="2"/>
      <c r="E69" s="2"/>
    </row>
    <row r="70" spans="1:5" ht="38.25" x14ac:dyDescent="0.25">
      <c r="A70" s="47" t="s">
        <v>15</v>
      </c>
      <c r="B70" s="47" t="s">
        <v>28</v>
      </c>
      <c r="C70" s="47" t="s">
        <v>29</v>
      </c>
      <c r="D70" s="77" t="s">
        <v>18</v>
      </c>
      <c r="E70" s="2"/>
    </row>
    <row r="71" spans="1:5" x14ac:dyDescent="0.25">
      <c r="A71" s="10" t="s">
        <v>64</v>
      </c>
      <c r="B71" s="45">
        <v>0.08</v>
      </c>
      <c r="C71" s="226">
        <f>B71*E67</f>
        <v>71329.372372581827</v>
      </c>
      <c r="D71" s="67">
        <f>C71</f>
        <v>71329.372372581827</v>
      </c>
      <c r="E71" s="2"/>
    </row>
    <row r="72" spans="1:5" x14ac:dyDescent="0.25">
      <c r="A72" s="10" t="s">
        <v>65</v>
      </c>
      <c r="B72" s="39">
        <v>0.01</v>
      </c>
      <c r="C72" s="226">
        <f>B72*E67</f>
        <v>8916.1715465727284</v>
      </c>
      <c r="D72" s="69">
        <f>C72</f>
        <v>8916.1715465727284</v>
      </c>
      <c r="E72" s="2"/>
    </row>
    <row r="73" spans="1:5" x14ac:dyDescent="0.25">
      <c r="A73" s="80" t="s">
        <v>66</v>
      </c>
      <c r="B73" s="46">
        <v>0.08</v>
      </c>
      <c r="C73" s="226">
        <f>B73*E67</f>
        <v>71329.372372581827</v>
      </c>
      <c r="D73" s="69">
        <f>C73</f>
        <v>71329.372372581827</v>
      </c>
      <c r="E73" s="2"/>
    </row>
    <row r="74" spans="1:5" x14ac:dyDescent="0.25">
      <c r="A74" s="81"/>
      <c r="B74" s="40"/>
      <c r="C74" s="226"/>
      <c r="D74" s="70">
        <v>0</v>
      </c>
      <c r="E74" s="2"/>
    </row>
    <row r="75" spans="1:5" x14ac:dyDescent="0.25">
      <c r="A75" s="14"/>
      <c r="B75" s="14"/>
      <c r="C75" s="56" t="s">
        <v>30</v>
      </c>
      <c r="D75" s="64">
        <f>SUM(D71:D74)</f>
        <v>151574.91629173639</v>
      </c>
      <c r="E75" s="2"/>
    </row>
    <row r="76" spans="1:5" x14ac:dyDescent="0.25">
      <c r="A76" s="2"/>
      <c r="B76" s="2"/>
      <c r="C76" s="2"/>
      <c r="D76" s="2"/>
      <c r="E76" s="2"/>
    </row>
    <row r="77" spans="1:5" x14ac:dyDescent="0.25">
      <c r="A77" s="52" t="s">
        <v>31</v>
      </c>
      <c r="B77" s="53"/>
      <c r="C77" s="53"/>
      <c r="D77" s="53"/>
      <c r="E77" s="53"/>
    </row>
    <row r="78" spans="1:5" x14ac:dyDescent="0.25">
      <c r="A78" s="2"/>
      <c r="B78" s="2"/>
      <c r="C78" s="2"/>
      <c r="D78" s="2"/>
      <c r="E78" s="2"/>
    </row>
    <row r="79" spans="1:5" ht="25.5" x14ac:dyDescent="0.25">
      <c r="A79" s="47" t="s">
        <v>15</v>
      </c>
      <c r="B79" s="47" t="s">
        <v>32</v>
      </c>
      <c r="C79" s="47" t="s">
        <v>29</v>
      </c>
      <c r="D79" s="77" t="s">
        <v>18</v>
      </c>
      <c r="E79" s="2"/>
    </row>
    <row r="80" spans="1:5" x14ac:dyDescent="0.25">
      <c r="A80" s="131" t="s">
        <v>67</v>
      </c>
      <c r="B80" s="45">
        <v>7.6799999999999993E-2</v>
      </c>
      <c r="C80" s="67">
        <f>B80*(E67+D75)</f>
        <v>80117.151048883898</v>
      </c>
      <c r="D80" s="67">
        <f>C80</f>
        <v>80117.151048883898</v>
      </c>
      <c r="E80" s="2"/>
    </row>
    <row r="81" spans="1:5" x14ac:dyDescent="0.25">
      <c r="A81" s="10"/>
      <c r="B81" s="39"/>
      <c r="C81" s="69">
        <v>0</v>
      </c>
      <c r="D81" s="69">
        <v>0</v>
      </c>
      <c r="E81" s="2"/>
    </row>
    <row r="82" spans="1:5" x14ac:dyDescent="0.25">
      <c r="A82" s="82"/>
      <c r="B82" s="49"/>
      <c r="C82" s="71">
        <v>0</v>
      </c>
      <c r="D82" s="71">
        <v>0</v>
      </c>
      <c r="E82" s="2"/>
    </row>
    <row r="83" spans="1:5" x14ac:dyDescent="0.25">
      <c r="A83" s="14"/>
      <c r="B83" s="54" t="s">
        <v>33</v>
      </c>
      <c r="C83" s="55"/>
      <c r="D83" s="64">
        <f>SUM(D80:D82)</f>
        <v>80117.151048883898</v>
      </c>
      <c r="E83" s="2"/>
    </row>
    <row r="84" spans="1:5" x14ac:dyDescent="0.25">
      <c r="A84" s="2"/>
      <c r="B84" s="2"/>
      <c r="C84" s="2"/>
      <c r="D84" s="2"/>
      <c r="E84" s="2"/>
    </row>
    <row r="85" spans="1:5" x14ac:dyDescent="0.25">
      <c r="A85" s="52" t="s">
        <v>34</v>
      </c>
      <c r="B85" s="53"/>
      <c r="C85" s="53"/>
      <c r="D85" s="53"/>
      <c r="E85" s="53"/>
    </row>
    <row r="86" spans="1:5" x14ac:dyDescent="0.25">
      <c r="A86" s="2"/>
      <c r="B86" s="2"/>
      <c r="C86" s="2"/>
      <c r="D86" s="2"/>
      <c r="E86" s="2"/>
    </row>
    <row r="87" spans="1:5" x14ac:dyDescent="0.25">
      <c r="A87" s="11" t="s">
        <v>35</v>
      </c>
      <c r="B87" s="12"/>
      <c r="C87" s="12"/>
      <c r="D87" s="13"/>
      <c r="E87" s="72">
        <f>E67+D75+D83</f>
        <v>1123309.2219978929</v>
      </c>
    </row>
    <row r="88" spans="1:5" x14ac:dyDescent="0.25">
      <c r="A88" s="2"/>
      <c r="B88" s="2"/>
      <c r="C88" s="2"/>
      <c r="D88" s="2"/>
      <c r="E88" s="2"/>
    </row>
    <row r="89" spans="1:5" x14ac:dyDescent="0.25">
      <c r="A89" s="52" t="s">
        <v>36</v>
      </c>
      <c r="B89" s="53"/>
      <c r="C89" s="53"/>
      <c r="D89" s="53"/>
      <c r="E89" s="79"/>
    </row>
    <row r="90" spans="1:5" x14ac:dyDescent="0.25">
      <c r="A90" s="2"/>
      <c r="B90" s="2"/>
      <c r="C90" s="2"/>
      <c r="D90" s="2"/>
      <c r="E90" s="2"/>
    </row>
    <row r="91" spans="1:5" x14ac:dyDescent="0.25">
      <c r="A91" s="47" t="s">
        <v>15</v>
      </c>
      <c r="B91" s="47" t="s">
        <v>32</v>
      </c>
      <c r="C91" s="2"/>
      <c r="D91" s="2"/>
      <c r="E91" s="2"/>
    </row>
    <row r="92" spans="1:5" x14ac:dyDescent="0.25">
      <c r="A92" s="17" t="s">
        <v>37</v>
      </c>
      <c r="B92" s="45">
        <v>0.05</v>
      </c>
      <c r="C92" s="2"/>
      <c r="D92" s="2"/>
      <c r="E92" s="2"/>
    </row>
    <row r="93" spans="1:5" x14ac:dyDescent="0.25">
      <c r="A93" s="18" t="s">
        <v>38</v>
      </c>
      <c r="B93" s="39">
        <v>6.4999999999999997E-3</v>
      </c>
      <c r="C93" s="2"/>
      <c r="D93" s="2"/>
      <c r="E93" s="128"/>
    </row>
    <row r="94" spans="1:5" x14ac:dyDescent="0.25">
      <c r="A94" s="4" t="s">
        <v>39</v>
      </c>
      <c r="B94" s="49">
        <v>0.03</v>
      </c>
      <c r="C94" s="2"/>
      <c r="D94" s="2"/>
      <c r="E94" s="2"/>
    </row>
    <row r="95" spans="1:5" x14ac:dyDescent="0.25">
      <c r="A95" s="2"/>
      <c r="B95" s="15"/>
      <c r="C95" s="2"/>
      <c r="D95" s="2"/>
      <c r="E95" s="2"/>
    </row>
    <row r="96" spans="1:5" ht="27.75" customHeight="1" x14ac:dyDescent="0.25">
      <c r="A96" s="16" t="s">
        <v>40</v>
      </c>
      <c r="B96" s="73">
        <f>SUM(B92:B94)</f>
        <v>8.6499999999999994E-2</v>
      </c>
      <c r="C96" s="2"/>
      <c r="D96" s="2"/>
      <c r="E96" s="129"/>
    </row>
    <row r="97" spans="1:6" x14ac:dyDescent="0.25">
      <c r="A97" s="2"/>
      <c r="B97" s="2"/>
      <c r="C97" s="2"/>
      <c r="D97" s="2"/>
      <c r="E97" s="2"/>
    </row>
    <row r="98" spans="1:6" x14ac:dyDescent="0.25">
      <c r="A98" s="52" t="s">
        <v>41</v>
      </c>
      <c r="B98" s="53"/>
      <c r="C98" s="53"/>
      <c r="D98" s="53"/>
      <c r="E98" s="130">
        <f>E87*1.0865</f>
        <v>1220475.4697007106</v>
      </c>
    </row>
    <row r="99" spans="1:6" x14ac:dyDescent="0.25">
      <c r="A99" s="133"/>
      <c r="B99" s="134"/>
      <c r="C99" s="134"/>
      <c r="D99" s="134"/>
      <c r="E99" s="134"/>
    </row>
    <row r="100" spans="1:6" x14ac:dyDescent="0.25">
      <c r="A100" s="135"/>
      <c r="B100" s="136"/>
      <c r="C100" s="136"/>
      <c r="D100" s="136"/>
      <c r="E100" s="216"/>
    </row>
    <row r="101" spans="1:6" x14ac:dyDescent="0.25">
      <c r="A101" s="52" t="s">
        <v>151</v>
      </c>
      <c r="B101" s="53"/>
      <c r="C101" s="53"/>
      <c r="D101" s="53"/>
      <c r="E101" s="53"/>
    </row>
    <row r="102" spans="1:6" x14ac:dyDescent="0.25">
      <c r="A102" s="135"/>
      <c r="B102" s="136"/>
      <c r="C102" s="136"/>
      <c r="D102" s="136"/>
      <c r="E102" s="136"/>
      <c r="F102" s="122"/>
    </row>
    <row r="103" spans="1:6" ht="25.5" x14ac:dyDescent="0.25">
      <c r="A103" s="47" t="s">
        <v>15</v>
      </c>
      <c r="B103" s="47" t="s">
        <v>22</v>
      </c>
      <c r="C103" s="47" t="s">
        <v>23</v>
      </c>
      <c r="D103" s="77" t="s">
        <v>18</v>
      </c>
      <c r="E103" s="137"/>
    </row>
    <row r="104" spans="1:6" ht="15.75" x14ac:dyDescent="0.25">
      <c r="A104" s="139" t="s">
        <v>152</v>
      </c>
      <c r="B104" s="126" t="s">
        <v>60</v>
      </c>
      <c r="C104" s="125"/>
      <c r="D104" s="140">
        <f>C104</f>
        <v>0</v>
      </c>
      <c r="E104" s="137"/>
    </row>
    <row r="105" spans="1:6" ht="15.75" x14ac:dyDescent="0.25">
      <c r="A105" s="123"/>
      <c r="B105" s="126"/>
      <c r="C105" s="125"/>
      <c r="D105" s="127">
        <f>C105</f>
        <v>0</v>
      </c>
      <c r="E105" s="137"/>
    </row>
    <row r="106" spans="1:6" ht="15.75" x14ac:dyDescent="0.25">
      <c r="A106" s="123"/>
      <c r="B106" s="126"/>
      <c r="C106" s="125"/>
      <c r="D106" s="127"/>
      <c r="E106" s="137"/>
    </row>
    <row r="107" spans="1:6" x14ac:dyDescent="0.25">
      <c r="B107" s="134"/>
      <c r="C107" s="134"/>
      <c r="D107" s="141">
        <f>SUM(D104:D106)</f>
        <v>0</v>
      </c>
      <c r="E107" s="134"/>
    </row>
    <row r="108" spans="1:6" x14ac:dyDescent="0.25">
      <c r="A108" s="52" t="s">
        <v>153</v>
      </c>
      <c r="B108" s="53"/>
      <c r="C108" s="53"/>
      <c r="D108" s="53"/>
      <c r="E108" s="53"/>
    </row>
    <row r="109" spans="1:6" x14ac:dyDescent="0.25">
      <c r="A109" s="134"/>
      <c r="B109" s="134"/>
      <c r="C109" s="134"/>
      <c r="D109" s="134"/>
      <c r="E109" s="134"/>
    </row>
    <row r="110" spans="1:6" ht="38.25" x14ac:dyDescent="0.25">
      <c r="A110" s="47" t="s">
        <v>15</v>
      </c>
      <c r="B110" s="47" t="s">
        <v>28</v>
      </c>
      <c r="C110" s="47" t="s">
        <v>29</v>
      </c>
      <c r="D110" s="77" t="s">
        <v>18</v>
      </c>
      <c r="E110" s="134"/>
    </row>
    <row r="111" spans="1:6" x14ac:dyDescent="0.25">
      <c r="A111" s="99" t="s">
        <v>64</v>
      </c>
      <c r="B111" s="142">
        <v>0.08</v>
      </c>
      <c r="C111" s="217">
        <f>B111*D107</f>
        <v>0</v>
      </c>
      <c r="D111" s="217">
        <f>C111</f>
        <v>0</v>
      </c>
      <c r="E111" s="134"/>
    </row>
    <row r="112" spans="1:6" x14ac:dyDescent="0.25">
      <c r="A112" s="99" t="s">
        <v>65</v>
      </c>
      <c r="B112" s="143">
        <v>0.01</v>
      </c>
      <c r="C112" s="140">
        <f>B112*D107</f>
        <v>0</v>
      </c>
      <c r="D112" s="140">
        <f>C112</f>
        <v>0</v>
      </c>
      <c r="E112" s="134"/>
    </row>
    <row r="113" spans="1:5" x14ac:dyDescent="0.25">
      <c r="A113" s="149"/>
      <c r="B113" s="146"/>
      <c r="C113" s="218">
        <v>0</v>
      </c>
      <c r="D113" s="218">
        <v>0</v>
      </c>
      <c r="E113" s="134"/>
    </row>
    <row r="114" spans="1:5" x14ac:dyDescent="0.25">
      <c r="A114" s="14"/>
      <c r="B114" s="14"/>
      <c r="C114" s="56" t="s">
        <v>30</v>
      </c>
      <c r="D114" s="64">
        <f>SUM(D111:D113)</f>
        <v>0</v>
      </c>
      <c r="E114" s="134"/>
    </row>
    <row r="115" spans="1:5" x14ac:dyDescent="0.25">
      <c r="A115" s="134"/>
      <c r="B115" s="134"/>
      <c r="C115" s="134"/>
      <c r="D115" s="134"/>
      <c r="E115" s="134"/>
    </row>
    <row r="116" spans="1:5" x14ac:dyDescent="0.25">
      <c r="A116" s="52" t="s">
        <v>154</v>
      </c>
      <c r="B116" s="53"/>
      <c r="C116" s="53"/>
      <c r="D116" s="53"/>
      <c r="E116" s="53"/>
    </row>
    <row r="117" spans="1:5" x14ac:dyDescent="0.25">
      <c r="A117" s="134"/>
      <c r="B117" s="134"/>
      <c r="C117" s="134"/>
      <c r="D117" s="134"/>
      <c r="E117" s="134"/>
    </row>
    <row r="118" spans="1:5" ht="25.5" x14ac:dyDescent="0.25">
      <c r="A118" s="47" t="s">
        <v>15</v>
      </c>
      <c r="B118" s="47" t="s">
        <v>32</v>
      </c>
      <c r="C118" s="47" t="s">
        <v>29</v>
      </c>
      <c r="D118" s="77" t="s">
        <v>18</v>
      </c>
      <c r="E118" s="134"/>
    </row>
    <row r="119" spans="1:5" x14ac:dyDescent="0.25">
      <c r="A119" s="131" t="s">
        <v>67</v>
      </c>
      <c r="B119" s="142">
        <v>7.6799999999999993E-2</v>
      </c>
      <c r="C119" s="67">
        <f>B119*(D107+D114)</f>
        <v>0</v>
      </c>
      <c r="D119" s="217">
        <f>C119</f>
        <v>0</v>
      </c>
      <c r="E119" s="134"/>
    </row>
    <row r="120" spans="1:5" x14ac:dyDescent="0.25">
      <c r="A120" s="99"/>
      <c r="B120" s="143"/>
      <c r="C120" s="140">
        <v>0</v>
      </c>
      <c r="D120" s="140">
        <v>0</v>
      </c>
      <c r="E120" s="134"/>
    </row>
    <row r="121" spans="1:5" x14ac:dyDescent="0.25">
      <c r="A121" s="219"/>
      <c r="B121" s="220"/>
      <c r="C121" s="221">
        <v>0</v>
      </c>
      <c r="D121" s="221">
        <v>0</v>
      </c>
      <c r="E121" s="134"/>
    </row>
    <row r="122" spans="1:5" x14ac:dyDescent="0.25">
      <c r="A122" s="14"/>
      <c r="B122" s="54" t="s">
        <v>33</v>
      </c>
      <c r="C122" s="222"/>
      <c r="D122" s="64">
        <f>SUM(D119:D121)</f>
        <v>0</v>
      </c>
      <c r="E122" s="134"/>
    </row>
    <row r="123" spans="1:5" x14ac:dyDescent="0.25">
      <c r="A123" s="134"/>
      <c r="B123" s="134"/>
      <c r="C123" s="134"/>
      <c r="D123" s="134"/>
      <c r="E123" s="134"/>
    </row>
    <row r="124" spans="1:5" x14ac:dyDescent="0.25">
      <c r="A124" s="52" t="s">
        <v>155</v>
      </c>
      <c r="B124" s="53"/>
      <c r="C124" s="53"/>
      <c r="D124" s="53"/>
      <c r="E124" s="79"/>
    </row>
    <row r="125" spans="1:5" x14ac:dyDescent="0.25">
      <c r="A125" s="134"/>
      <c r="B125" s="134"/>
      <c r="C125" s="134"/>
      <c r="D125" s="134"/>
      <c r="E125" s="134"/>
    </row>
    <row r="126" spans="1:5" x14ac:dyDescent="0.25">
      <c r="A126" s="47" t="s">
        <v>15</v>
      </c>
      <c r="B126" s="47" t="s">
        <v>32</v>
      </c>
      <c r="C126" s="134"/>
      <c r="D126" s="134"/>
      <c r="E126" s="134"/>
    </row>
    <row r="127" spans="1:5" x14ac:dyDescent="0.25">
      <c r="A127" s="138" t="s">
        <v>37</v>
      </c>
      <c r="B127" s="142">
        <v>0.05</v>
      </c>
      <c r="C127" s="134"/>
      <c r="D127" s="134"/>
      <c r="E127" s="134"/>
    </row>
    <row r="128" spans="1:5" x14ac:dyDescent="0.25">
      <c r="A128" s="93" t="s">
        <v>38</v>
      </c>
      <c r="B128" s="143">
        <v>6.4999999999999997E-3</v>
      </c>
      <c r="C128" s="134"/>
      <c r="D128" s="134"/>
      <c r="E128" s="144"/>
    </row>
    <row r="129" spans="1:6" x14ac:dyDescent="0.25">
      <c r="A129" s="223" t="s">
        <v>39</v>
      </c>
      <c r="B129" s="220">
        <v>0.03</v>
      </c>
      <c r="C129" s="134"/>
      <c r="D129" s="134"/>
      <c r="E129" s="134"/>
    </row>
    <row r="130" spans="1:6" x14ac:dyDescent="0.25">
      <c r="A130" s="134"/>
      <c r="B130" s="147"/>
      <c r="C130" s="134"/>
      <c r="D130" s="134"/>
      <c r="E130" s="134"/>
    </row>
    <row r="131" spans="1:6" ht="27.75" customHeight="1" x14ac:dyDescent="0.25">
      <c r="A131" s="16" t="s">
        <v>40</v>
      </c>
      <c r="B131" s="73">
        <f>SUM(B127:B129)</f>
        <v>8.6499999999999994E-2</v>
      </c>
      <c r="C131" s="134"/>
      <c r="D131" s="134"/>
      <c r="E131" s="148"/>
    </row>
    <row r="132" spans="1:6" x14ac:dyDescent="0.25">
      <c r="A132" s="134"/>
      <c r="B132" s="134"/>
      <c r="C132" s="134"/>
      <c r="D132" s="134"/>
      <c r="E132" s="134"/>
    </row>
    <row r="133" spans="1:6" x14ac:dyDescent="0.25">
      <c r="A133" s="52" t="s">
        <v>156</v>
      </c>
      <c r="B133" s="53"/>
      <c r="C133" s="53"/>
      <c r="D133" s="53"/>
      <c r="E133" s="130">
        <f>(D107+D114+D122)*1.0865</f>
        <v>0</v>
      </c>
    </row>
    <row r="134" spans="1:6" x14ac:dyDescent="0.25">
      <c r="A134" s="88"/>
      <c r="B134" s="134"/>
      <c r="C134" s="134"/>
      <c r="D134" s="134"/>
      <c r="E134" s="134"/>
    </row>
    <row r="135" spans="1:6" x14ac:dyDescent="0.25">
      <c r="A135" s="52" t="s">
        <v>157</v>
      </c>
      <c r="B135" s="53"/>
      <c r="C135" s="53"/>
      <c r="D135" s="53"/>
      <c r="E135" s="53"/>
    </row>
    <row r="136" spans="1:6" x14ac:dyDescent="0.25">
      <c r="A136" s="135"/>
      <c r="B136" s="136"/>
      <c r="C136" s="136"/>
      <c r="D136" s="136"/>
      <c r="E136" s="136"/>
      <c r="F136" s="122"/>
    </row>
    <row r="137" spans="1:6" ht="25.5" x14ac:dyDescent="0.25">
      <c r="A137" s="47" t="s">
        <v>15</v>
      </c>
      <c r="B137" s="47" t="s">
        <v>22</v>
      </c>
      <c r="C137" s="47" t="s">
        <v>23</v>
      </c>
      <c r="D137" s="77" t="s">
        <v>18</v>
      </c>
      <c r="E137" s="137"/>
    </row>
    <row r="138" spans="1:6" ht="15.75" x14ac:dyDescent="0.25">
      <c r="A138" s="139" t="s">
        <v>80</v>
      </c>
      <c r="B138" s="126" t="s">
        <v>60</v>
      </c>
      <c r="C138" s="125">
        <f>E23*40%</f>
        <v>135828.30985454546</v>
      </c>
      <c r="D138" s="140">
        <f>C138</f>
        <v>135828.30985454546</v>
      </c>
      <c r="E138" s="137"/>
    </row>
    <row r="139" spans="1:6" ht="15.75" x14ac:dyDescent="0.25">
      <c r="A139" s="123"/>
      <c r="B139" s="126"/>
      <c r="C139" s="125"/>
      <c r="D139" s="127"/>
      <c r="E139" s="137"/>
    </row>
    <row r="140" spans="1:6" ht="15.75" x14ac:dyDescent="0.25">
      <c r="A140" s="123"/>
      <c r="B140" s="126"/>
      <c r="C140" s="125"/>
      <c r="D140" s="127"/>
      <c r="E140" s="137"/>
    </row>
    <row r="141" spans="1:6" x14ac:dyDescent="0.25">
      <c r="B141" s="134"/>
      <c r="C141" s="134"/>
      <c r="D141" s="141">
        <f>SUM(D138:D140)</f>
        <v>135828.30985454546</v>
      </c>
      <c r="E141" s="134"/>
    </row>
    <row r="142" spans="1:6" x14ac:dyDescent="0.25">
      <c r="A142" s="134"/>
      <c r="B142" s="134"/>
      <c r="C142" s="134"/>
      <c r="D142" s="134"/>
      <c r="E142" s="134"/>
    </row>
    <row r="143" spans="1:6" x14ac:dyDescent="0.25">
      <c r="A143" s="52" t="s">
        <v>158</v>
      </c>
      <c r="B143" s="53"/>
      <c r="C143" s="53"/>
      <c r="D143" s="53"/>
      <c r="E143" s="53"/>
    </row>
    <row r="144" spans="1:6" x14ac:dyDescent="0.25">
      <c r="A144" s="134"/>
      <c r="B144" s="134"/>
      <c r="C144" s="134"/>
      <c r="D144" s="134"/>
      <c r="E144" s="134"/>
    </row>
    <row r="145" spans="1:5" ht="25.5" x14ac:dyDescent="0.25">
      <c r="A145" s="47" t="s">
        <v>15</v>
      </c>
      <c r="B145" s="47" t="s">
        <v>32</v>
      </c>
      <c r="C145" s="47" t="s">
        <v>29</v>
      </c>
      <c r="D145" s="77" t="s">
        <v>18</v>
      </c>
      <c r="E145" s="134"/>
    </row>
    <row r="146" spans="1:5" x14ac:dyDescent="0.25">
      <c r="A146" s="131" t="s">
        <v>67</v>
      </c>
      <c r="B146" s="142">
        <v>7.6799999999999993E-2</v>
      </c>
      <c r="C146" s="217">
        <f>B146*D141</f>
        <v>10431.61419682909</v>
      </c>
      <c r="D146" s="217">
        <f>C146</f>
        <v>10431.61419682909</v>
      </c>
      <c r="E146" s="134"/>
    </row>
    <row r="147" spans="1:5" x14ac:dyDescent="0.25">
      <c r="A147" s="99"/>
      <c r="B147" s="143"/>
      <c r="C147" s="140">
        <v>0</v>
      </c>
      <c r="D147" s="140">
        <v>0</v>
      </c>
      <c r="E147" s="134"/>
    </row>
    <row r="148" spans="1:5" x14ac:dyDescent="0.25">
      <c r="A148" s="219"/>
      <c r="B148" s="220"/>
      <c r="C148" s="221">
        <v>0</v>
      </c>
      <c r="D148" s="221">
        <v>0</v>
      </c>
      <c r="E148" s="134"/>
    </row>
    <row r="149" spans="1:5" x14ac:dyDescent="0.25">
      <c r="A149" s="14"/>
      <c r="B149" s="54" t="s">
        <v>33</v>
      </c>
      <c r="C149" s="222"/>
      <c r="D149" s="64">
        <f>SUM(D146:D148)</f>
        <v>10431.61419682909</v>
      </c>
      <c r="E149" s="134"/>
    </row>
    <row r="150" spans="1:5" x14ac:dyDescent="0.25">
      <c r="A150" s="134"/>
      <c r="B150" s="134"/>
      <c r="C150" s="134"/>
      <c r="D150" s="134"/>
      <c r="E150" s="134"/>
    </row>
    <row r="151" spans="1:5" x14ac:dyDescent="0.25">
      <c r="A151" s="52" t="s">
        <v>159</v>
      </c>
      <c r="B151" s="53"/>
      <c r="C151" s="53"/>
      <c r="D151" s="53"/>
      <c r="E151" s="79"/>
    </row>
    <row r="152" spans="1:5" x14ac:dyDescent="0.25">
      <c r="A152" s="134"/>
      <c r="B152" s="134"/>
      <c r="C152" s="134"/>
      <c r="D152" s="134"/>
      <c r="E152" s="134"/>
    </row>
    <row r="153" spans="1:5" x14ac:dyDescent="0.25">
      <c r="A153" s="47" t="s">
        <v>15</v>
      </c>
      <c r="B153" s="47" t="s">
        <v>32</v>
      </c>
      <c r="C153" s="134"/>
      <c r="D153" s="134"/>
      <c r="E153" s="134"/>
    </row>
    <row r="154" spans="1:5" x14ac:dyDescent="0.25">
      <c r="A154" s="138" t="s">
        <v>37</v>
      </c>
      <c r="B154" s="142">
        <v>0.05</v>
      </c>
      <c r="C154" s="134"/>
      <c r="D154" s="134"/>
      <c r="E154" s="134"/>
    </row>
    <row r="155" spans="1:5" x14ac:dyDescent="0.25">
      <c r="A155" s="93" t="s">
        <v>38</v>
      </c>
      <c r="B155" s="143">
        <v>6.4999999999999997E-3</v>
      </c>
      <c r="C155" s="134"/>
      <c r="D155" s="134"/>
      <c r="E155" s="144"/>
    </row>
    <row r="156" spans="1:5" x14ac:dyDescent="0.25">
      <c r="A156" s="223" t="s">
        <v>39</v>
      </c>
      <c r="B156" s="220">
        <v>0.03</v>
      </c>
      <c r="C156" s="134"/>
      <c r="D156" s="134"/>
      <c r="E156" s="134"/>
    </row>
    <row r="157" spans="1:5" x14ac:dyDescent="0.25">
      <c r="A157" s="134"/>
      <c r="B157" s="147"/>
      <c r="C157" s="134"/>
      <c r="D157" s="134"/>
      <c r="E157" s="134"/>
    </row>
    <row r="158" spans="1:5" ht="27.75" customHeight="1" x14ac:dyDescent="0.25">
      <c r="A158" s="16" t="s">
        <v>40</v>
      </c>
      <c r="B158" s="73">
        <f>SUM(B154:B156)</f>
        <v>8.6499999999999994E-2</v>
      </c>
      <c r="C158" s="134"/>
      <c r="D158" s="134"/>
      <c r="E158" s="148"/>
    </row>
    <row r="159" spans="1:5" x14ac:dyDescent="0.25">
      <c r="A159" s="134"/>
      <c r="B159" s="134"/>
      <c r="C159" s="134"/>
      <c r="D159" s="134"/>
      <c r="E159" s="134"/>
    </row>
    <row r="160" spans="1:5" x14ac:dyDescent="0.25">
      <c r="A160" s="52" t="s">
        <v>150</v>
      </c>
      <c r="B160" s="53"/>
      <c r="C160" s="53"/>
      <c r="D160" s="53"/>
      <c r="E160" s="130">
        <f>(D141+D149)*1.0865</f>
        <v>158911.40748181846</v>
      </c>
    </row>
    <row r="161" spans="1:5" x14ac:dyDescent="0.25">
      <c r="A161" s="88"/>
      <c r="B161" s="134"/>
      <c r="C161" s="134"/>
      <c r="D161" s="134"/>
      <c r="E161" s="134"/>
    </row>
    <row r="162" spans="1:5" ht="15.75" x14ac:dyDescent="0.25">
      <c r="A162" s="48" t="s">
        <v>59</v>
      </c>
      <c r="B162" s="214"/>
      <c r="C162" s="214"/>
      <c r="D162" s="215"/>
      <c r="E162" s="74">
        <v>1379386.89</v>
      </c>
    </row>
    <row r="163" spans="1:5" ht="15.75" x14ac:dyDescent="0.25">
      <c r="A163" s="224"/>
      <c r="B163" s="225"/>
      <c r="C163" s="225"/>
      <c r="D163" s="225"/>
      <c r="E163" s="137"/>
    </row>
    <row r="164" spans="1:5" x14ac:dyDescent="0.25">
      <c r="A164" s="88" t="s">
        <v>42</v>
      </c>
      <c r="B164" s="2"/>
      <c r="C164" s="2"/>
      <c r="D164" s="2"/>
      <c r="E164" s="2"/>
    </row>
    <row r="165" spans="1:5" x14ac:dyDescent="0.25">
      <c r="A165" s="26" t="s">
        <v>43</v>
      </c>
      <c r="B165" s="1"/>
      <c r="C165" s="1"/>
      <c r="D165" s="1"/>
      <c r="E165" s="1"/>
    </row>
    <row r="166" spans="1:5" x14ac:dyDescent="0.25">
      <c r="A166" s="27" t="s">
        <v>44</v>
      </c>
      <c r="B166" s="2"/>
      <c r="C166" s="2"/>
      <c r="D166" s="2"/>
      <c r="E166" s="2"/>
    </row>
    <row r="167" spans="1:5" x14ac:dyDescent="0.25">
      <c r="A167" s="27" t="s">
        <v>45</v>
      </c>
      <c r="B167" s="2"/>
      <c r="C167" s="2"/>
      <c r="D167" s="2"/>
      <c r="E167" s="2"/>
    </row>
    <row r="168" spans="1:5" x14ac:dyDescent="0.25">
      <c r="A168" s="27" t="s">
        <v>46</v>
      </c>
    </row>
    <row r="169" spans="1:5" x14ac:dyDescent="0.25">
      <c r="A169" s="27" t="s">
        <v>47</v>
      </c>
    </row>
    <row r="170" spans="1:5" x14ac:dyDescent="0.25">
      <c r="A170" s="27" t="s">
        <v>48</v>
      </c>
    </row>
    <row r="171" spans="1:5" x14ac:dyDescent="0.25">
      <c r="A171" s="27" t="s">
        <v>49</v>
      </c>
    </row>
    <row r="172" spans="1:5" x14ac:dyDescent="0.25">
      <c r="A172" s="26" t="s">
        <v>50</v>
      </c>
    </row>
    <row r="173" spans="1:5" x14ac:dyDescent="0.25">
      <c r="A173" s="27" t="s">
        <v>51</v>
      </c>
    </row>
    <row r="174" spans="1:5" x14ac:dyDescent="0.25">
      <c r="A174" s="27" t="s">
        <v>52</v>
      </c>
    </row>
    <row r="175" spans="1:5" x14ac:dyDescent="0.25">
      <c r="A175" s="29">
        <v>2</v>
      </c>
    </row>
    <row r="176" spans="1:5" x14ac:dyDescent="0.25">
      <c r="A176" s="27" t="s">
        <v>53</v>
      </c>
    </row>
    <row r="177" spans="1:1" x14ac:dyDescent="0.25">
      <c r="A177" s="29">
        <v>3</v>
      </c>
    </row>
    <row r="178" spans="1:1" x14ac:dyDescent="0.25">
      <c r="A178" s="27" t="s">
        <v>54</v>
      </c>
    </row>
    <row r="179" spans="1:1" x14ac:dyDescent="0.25">
      <c r="A179" s="29">
        <v>5</v>
      </c>
    </row>
    <row r="180" spans="1:1" x14ac:dyDescent="0.25">
      <c r="A180" s="27" t="s">
        <v>55</v>
      </c>
    </row>
    <row r="181" spans="1:1" x14ac:dyDescent="0.25">
      <c r="A181" s="27"/>
    </row>
    <row r="182" spans="1:1" x14ac:dyDescent="0.25">
      <c r="A182" s="28" t="s">
        <v>56</v>
      </c>
    </row>
    <row r="183" spans="1:1" x14ac:dyDescent="0.25">
      <c r="A183" s="2"/>
    </row>
    <row r="184" spans="1:1" x14ac:dyDescent="0.25">
      <c r="A184" s="32" t="s">
        <v>57</v>
      </c>
    </row>
  </sheetData>
  <mergeCells count="1">
    <mergeCell ref="A2:E2"/>
  </mergeCells>
  <pageMargins left="0.511811024" right="0.511811024" top="0.78740157499999996" bottom="0.78740157499999996" header="0.31496062000000002" footer="0.31496062000000002"/>
  <pageSetup paperSize="9" scale="54" orientation="portrait" r:id="rId1"/>
  <rowBreaks count="2" manualBreakCount="2">
    <brk id="53" max="16383" man="1"/>
    <brk id="13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2"/>
  <sheetViews>
    <sheetView topLeftCell="A78" workbookViewId="0">
      <selection activeCell="G102" sqref="G102"/>
    </sheetView>
  </sheetViews>
  <sheetFormatPr defaultColWidth="7.85546875" defaultRowHeight="15" x14ac:dyDescent="0.2"/>
  <cols>
    <col min="1" max="1" width="26.42578125" style="100" customWidth="1"/>
    <col min="2" max="2" width="12.28515625" style="100" customWidth="1"/>
    <col min="3" max="3" width="14.85546875" style="100" customWidth="1"/>
    <col min="4" max="4" width="14.42578125" style="100" customWidth="1"/>
    <col min="5" max="6" width="15.140625" style="100" customWidth="1"/>
    <col min="7" max="7" width="16.42578125" style="100" bestFit="1" customWidth="1"/>
    <col min="8" max="8" width="13.7109375" style="100" customWidth="1"/>
    <col min="9" max="9" width="16.28515625" style="100" customWidth="1"/>
    <col min="10" max="10" width="7.85546875" style="100"/>
    <col min="11" max="11" width="16.7109375" style="100" bestFit="1" customWidth="1"/>
    <col min="12" max="253" width="7.85546875" style="100"/>
    <col min="254" max="254" width="26.42578125" style="100" customWidth="1"/>
    <col min="255" max="255" width="12.28515625" style="100" customWidth="1"/>
    <col min="256" max="256" width="14.85546875" style="100" customWidth="1"/>
    <col min="257" max="257" width="14.42578125" style="100" customWidth="1"/>
    <col min="258" max="260" width="15.140625" style="100" customWidth="1"/>
    <col min="261" max="261" width="13.7109375" style="100" customWidth="1"/>
    <col min="262" max="262" width="16.28515625" style="100" customWidth="1"/>
    <col min="263" max="266" width="7.85546875" style="100"/>
    <col min="267" max="267" width="14.7109375" style="100" bestFit="1" customWidth="1"/>
    <col min="268" max="509" width="7.85546875" style="100"/>
    <col min="510" max="510" width="26.42578125" style="100" customWidth="1"/>
    <col min="511" max="511" width="12.28515625" style="100" customWidth="1"/>
    <col min="512" max="512" width="14.85546875" style="100" customWidth="1"/>
    <col min="513" max="513" width="14.42578125" style="100" customWidth="1"/>
    <col min="514" max="516" width="15.140625" style="100" customWidth="1"/>
    <col min="517" max="517" width="13.7109375" style="100" customWidth="1"/>
    <col min="518" max="518" width="16.28515625" style="100" customWidth="1"/>
    <col min="519" max="522" width="7.85546875" style="100"/>
    <col min="523" max="523" width="14.7109375" style="100" bestFit="1" customWidth="1"/>
    <col min="524" max="765" width="7.85546875" style="100"/>
    <col min="766" max="766" width="26.42578125" style="100" customWidth="1"/>
    <col min="767" max="767" width="12.28515625" style="100" customWidth="1"/>
    <col min="768" max="768" width="14.85546875" style="100" customWidth="1"/>
    <col min="769" max="769" width="14.42578125" style="100" customWidth="1"/>
    <col min="770" max="772" width="15.140625" style="100" customWidth="1"/>
    <col min="773" max="773" width="13.7109375" style="100" customWidth="1"/>
    <col min="774" max="774" width="16.28515625" style="100" customWidth="1"/>
    <col min="775" max="778" width="7.85546875" style="100"/>
    <col min="779" max="779" width="14.7109375" style="100" bestFit="1" customWidth="1"/>
    <col min="780" max="1021" width="7.85546875" style="100"/>
    <col min="1022" max="1022" width="26.42578125" style="100" customWidth="1"/>
    <col min="1023" max="1023" width="12.28515625" style="100" customWidth="1"/>
    <col min="1024" max="1024" width="14.85546875" style="100" customWidth="1"/>
    <col min="1025" max="1025" width="14.42578125" style="100" customWidth="1"/>
    <col min="1026" max="1028" width="15.140625" style="100" customWidth="1"/>
    <col min="1029" max="1029" width="13.7109375" style="100" customWidth="1"/>
    <col min="1030" max="1030" width="16.28515625" style="100" customWidth="1"/>
    <col min="1031" max="1034" width="7.85546875" style="100"/>
    <col min="1035" max="1035" width="14.7109375" style="100" bestFit="1" customWidth="1"/>
    <col min="1036" max="1277" width="7.85546875" style="100"/>
    <col min="1278" max="1278" width="26.42578125" style="100" customWidth="1"/>
    <col min="1279" max="1279" width="12.28515625" style="100" customWidth="1"/>
    <col min="1280" max="1280" width="14.85546875" style="100" customWidth="1"/>
    <col min="1281" max="1281" width="14.42578125" style="100" customWidth="1"/>
    <col min="1282" max="1284" width="15.140625" style="100" customWidth="1"/>
    <col min="1285" max="1285" width="13.7109375" style="100" customWidth="1"/>
    <col min="1286" max="1286" width="16.28515625" style="100" customWidth="1"/>
    <col min="1287" max="1290" width="7.85546875" style="100"/>
    <col min="1291" max="1291" width="14.7109375" style="100" bestFit="1" customWidth="1"/>
    <col min="1292" max="1533" width="7.85546875" style="100"/>
    <col min="1534" max="1534" width="26.42578125" style="100" customWidth="1"/>
    <col min="1535" max="1535" width="12.28515625" style="100" customWidth="1"/>
    <col min="1536" max="1536" width="14.85546875" style="100" customWidth="1"/>
    <col min="1537" max="1537" width="14.42578125" style="100" customWidth="1"/>
    <col min="1538" max="1540" width="15.140625" style="100" customWidth="1"/>
    <col min="1541" max="1541" width="13.7109375" style="100" customWidth="1"/>
    <col min="1542" max="1542" width="16.28515625" style="100" customWidth="1"/>
    <col min="1543" max="1546" width="7.85546875" style="100"/>
    <col min="1547" max="1547" width="14.7109375" style="100" bestFit="1" customWidth="1"/>
    <col min="1548" max="1789" width="7.85546875" style="100"/>
    <col min="1790" max="1790" width="26.42578125" style="100" customWidth="1"/>
    <col min="1791" max="1791" width="12.28515625" style="100" customWidth="1"/>
    <col min="1792" max="1792" width="14.85546875" style="100" customWidth="1"/>
    <col min="1793" max="1793" width="14.42578125" style="100" customWidth="1"/>
    <col min="1794" max="1796" width="15.140625" style="100" customWidth="1"/>
    <col min="1797" max="1797" width="13.7109375" style="100" customWidth="1"/>
    <col min="1798" max="1798" width="16.28515625" style="100" customWidth="1"/>
    <col min="1799" max="1802" width="7.85546875" style="100"/>
    <col min="1803" max="1803" width="14.7109375" style="100" bestFit="1" customWidth="1"/>
    <col min="1804" max="2045" width="7.85546875" style="100"/>
    <col min="2046" max="2046" width="26.42578125" style="100" customWidth="1"/>
    <col min="2047" max="2047" width="12.28515625" style="100" customWidth="1"/>
    <col min="2048" max="2048" width="14.85546875" style="100" customWidth="1"/>
    <col min="2049" max="2049" width="14.42578125" style="100" customWidth="1"/>
    <col min="2050" max="2052" width="15.140625" style="100" customWidth="1"/>
    <col min="2053" max="2053" width="13.7109375" style="100" customWidth="1"/>
    <col min="2054" max="2054" width="16.28515625" style="100" customWidth="1"/>
    <col min="2055" max="2058" width="7.85546875" style="100"/>
    <col min="2059" max="2059" width="14.7109375" style="100" bestFit="1" customWidth="1"/>
    <col min="2060" max="2301" width="7.85546875" style="100"/>
    <col min="2302" max="2302" width="26.42578125" style="100" customWidth="1"/>
    <col min="2303" max="2303" width="12.28515625" style="100" customWidth="1"/>
    <col min="2304" max="2304" width="14.85546875" style="100" customWidth="1"/>
    <col min="2305" max="2305" width="14.42578125" style="100" customWidth="1"/>
    <col min="2306" max="2308" width="15.140625" style="100" customWidth="1"/>
    <col min="2309" max="2309" width="13.7109375" style="100" customWidth="1"/>
    <col min="2310" max="2310" width="16.28515625" style="100" customWidth="1"/>
    <col min="2311" max="2314" width="7.85546875" style="100"/>
    <col min="2315" max="2315" width="14.7109375" style="100" bestFit="1" customWidth="1"/>
    <col min="2316" max="2557" width="7.85546875" style="100"/>
    <col min="2558" max="2558" width="26.42578125" style="100" customWidth="1"/>
    <col min="2559" max="2559" width="12.28515625" style="100" customWidth="1"/>
    <col min="2560" max="2560" width="14.85546875" style="100" customWidth="1"/>
    <col min="2561" max="2561" width="14.42578125" style="100" customWidth="1"/>
    <col min="2562" max="2564" width="15.140625" style="100" customWidth="1"/>
    <col min="2565" max="2565" width="13.7109375" style="100" customWidth="1"/>
    <col min="2566" max="2566" width="16.28515625" style="100" customWidth="1"/>
    <col min="2567" max="2570" width="7.85546875" style="100"/>
    <col min="2571" max="2571" width="14.7109375" style="100" bestFit="1" customWidth="1"/>
    <col min="2572" max="2813" width="7.85546875" style="100"/>
    <col min="2814" max="2814" width="26.42578125" style="100" customWidth="1"/>
    <col min="2815" max="2815" width="12.28515625" style="100" customWidth="1"/>
    <col min="2816" max="2816" width="14.85546875" style="100" customWidth="1"/>
    <col min="2817" max="2817" width="14.42578125" style="100" customWidth="1"/>
    <col min="2818" max="2820" width="15.140625" style="100" customWidth="1"/>
    <col min="2821" max="2821" width="13.7109375" style="100" customWidth="1"/>
    <col min="2822" max="2822" width="16.28515625" style="100" customWidth="1"/>
    <col min="2823" max="2826" width="7.85546875" style="100"/>
    <col min="2827" max="2827" width="14.7109375" style="100" bestFit="1" customWidth="1"/>
    <col min="2828" max="3069" width="7.85546875" style="100"/>
    <col min="3070" max="3070" width="26.42578125" style="100" customWidth="1"/>
    <col min="3071" max="3071" width="12.28515625" style="100" customWidth="1"/>
    <col min="3072" max="3072" width="14.85546875" style="100" customWidth="1"/>
    <col min="3073" max="3073" width="14.42578125" style="100" customWidth="1"/>
    <col min="3074" max="3076" width="15.140625" style="100" customWidth="1"/>
    <col min="3077" max="3077" width="13.7109375" style="100" customWidth="1"/>
    <col min="3078" max="3078" width="16.28515625" style="100" customWidth="1"/>
    <col min="3079" max="3082" width="7.85546875" style="100"/>
    <col min="3083" max="3083" width="14.7109375" style="100" bestFit="1" customWidth="1"/>
    <col min="3084" max="3325" width="7.85546875" style="100"/>
    <col min="3326" max="3326" width="26.42578125" style="100" customWidth="1"/>
    <col min="3327" max="3327" width="12.28515625" style="100" customWidth="1"/>
    <col min="3328" max="3328" width="14.85546875" style="100" customWidth="1"/>
    <col min="3329" max="3329" width="14.42578125" style="100" customWidth="1"/>
    <col min="3330" max="3332" width="15.140625" style="100" customWidth="1"/>
    <col min="3333" max="3333" width="13.7109375" style="100" customWidth="1"/>
    <col min="3334" max="3334" width="16.28515625" style="100" customWidth="1"/>
    <col min="3335" max="3338" width="7.85546875" style="100"/>
    <col min="3339" max="3339" width="14.7109375" style="100" bestFit="1" customWidth="1"/>
    <col min="3340" max="3581" width="7.85546875" style="100"/>
    <col min="3582" max="3582" width="26.42578125" style="100" customWidth="1"/>
    <col min="3583" max="3583" width="12.28515625" style="100" customWidth="1"/>
    <col min="3584" max="3584" width="14.85546875" style="100" customWidth="1"/>
    <col min="3585" max="3585" width="14.42578125" style="100" customWidth="1"/>
    <col min="3586" max="3588" width="15.140625" style="100" customWidth="1"/>
    <col min="3589" max="3589" width="13.7109375" style="100" customWidth="1"/>
    <col min="3590" max="3590" width="16.28515625" style="100" customWidth="1"/>
    <col min="3591" max="3594" width="7.85546875" style="100"/>
    <col min="3595" max="3595" width="14.7109375" style="100" bestFit="1" customWidth="1"/>
    <col min="3596" max="3837" width="7.85546875" style="100"/>
    <col min="3838" max="3838" width="26.42578125" style="100" customWidth="1"/>
    <col min="3839" max="3839" width="12.28515625" style="100" customWidth="1"/>
    <col min="3840" max="3840" width="14.85546875" style="100" customWidth="1"/>
    <col min="3841" max="3841" width="14.42578125" style="100" customWidth="1"/>
    <col min="3842" max="3844" width="15.140625" style="100" customWidth="1"/>
    <col min="3845" max="3845" width="13.7109375" style="100" customWidth="1"/>
    <col min="3846" max="3846" width="16.28515625" style="100" customWidth="1"/>
    <col min="3847" max="3850" width="7.85546875" style="100"/>
    <col min="3851" max="3851" width="14.7109375" style="100" bestFit="1" customWidth="1"/>
    <col min="3852" max="4093" width="7.85546875" style="100"/>
    <col min="4094" max="4094" width="26.42578125" style="100" customWidth="1"/>
    <col min="4095" max="4095" width="12.28515625" style="100" customWidth="1"/>
    <col min="4096" max="4096" width="14.85546875" style="100" customWidth="1"/>
    <col min="4097" max="4097" width="14.42578125" style="100" customWidth="1"/>
    <col min="4098" max="4100" width="15.140625" style="100" customWidth="1"/>
    <col min="4101" max="4101" width="13.7109375" style="100" customWidth="1"/>
    <col min="4102" max="4102" width="16.28515625" style="100" customWidth="1"/>
    <col min="4103" max="4106" width="7.85546875" style="100"/>
    <col min="4107" max="4107" width="14.7109375" style="100" bestFit="1" customWidth="1"/>
    <col min="4108" max="4349" width="7.85546875" style="100"/>
    <col min="4350" max="4350" width="26.42578125" style="100" customWidth="1"/>
    <col min="4351" max="4351" width="12.28515625" style="100" customWidth="1"/>
    <col min="4352" max="4352" width="14.85546875" style="100" customWidth="1"/>
    <col min="4353" max="4353" width="14.42578125" style="100" customWidth="1"/>
    <col min="4354" max="4356" width="15.140625" style="100" customWidth="1"/>
    <col min="4357" max="4357" width="13.7109375" style="100" customWidth="1"/>
    <col min="4358" max="4358" width="16.28515625" style="100" customWidth="1"/>
    <col min="4359" max="4362" width="7.85546875" style="100"/>
    <col min="4363" max="4363" width="14.7109375" style="100" bestFit="1" customWidth="1"/>
    <col min="4364" max="4605" width="7.85546875" style="100"/>
    <col min="4606" max="4606" width="26.42578125" style="100" customWidth="1"/>
    <col min="4607" max="4607" width="12.28515625" style="100" customWidth="1"/>
    <col min="4608" max="4608" width="14.85546875" style="100" customWidth="1"/>
    <col min="4609" max="4609" width="14.42578125" style="100" customWidth="1"/>
    <col min="4610" max="4612" width="15.140625" style="100" customWidth="1"/>
    <col min="4613" max="4613" width="13.7109375" style="100" customWidth="1"/>
    <col min="4614" max="4614" width="16.28515625" style="100" customWidth="1"/>
    <col min="4615" max="4618" width="7.85546875" style="100"/>
    <col min="4619" max="4619" width="14.7109375" style="100" bestFit="1" customWidth="1"/>
    <col min="4620" max="4861" width="7.85546875" style="100"/>
    <col min="4862" max="4862" width="26.42578125" style="100" customWidth="1"/>
    <col min="4863" max="4863" width="12.28515625" style="100" customWidth="1"/>
    <col min="4864" max="4864" width="14.85546875" style="100" customWidth="1"/>
    <col min="4865" max="4865" width="14.42578125" style="100" customWidth="1"/>
    <col min="4866" max="4868" width="15.140625" style="100" customWidth="1"/>
    <col min="4869" max="4869" width="13.7109375" style="100" customWidth="1"/>
    <col min="4870" max="4870" width="16.28515625" style="100" customWidth="1"/>
    <col min="4871" max="4874" width="7.85546875" style="100"/>
    <col min="4875" max="4875" width="14.7109375" style="100" bestFit="1" customWidth="1"/>
    <col min="4876" max="5117" width="7.85546875" style="100"/>
    <col min="5118" max="5118" width="26.42578125" style="100" customWidth="1"/>
    <col min="5119" max="5119" width="12.28515625" style="100" customWidth="1"/>
    <col min="5120" max="5120" width="14.85546875" style="100" customWidth="1"/>
    <col min="5121" max="5121" width="14.42578125" style="100" customWidth="1"/>
    <col min="5122" max="5124" width="15.140625" style="100" customWidth="1"/>
    <col min="5125" max="5125" width="13.7109375" style="100" customWidth="1"/>
    <col min="5126" max="5126" width="16.28515625" style="100" customWidth="1"/>
    <col min="5127" max="5130" width="7.85546875" style="100"/>
    <col min="5131" max="5131" width="14.7109375" style="100" bestFit="1" customWidth="1"/>
    <col min="5132" max="5373" width="7.85546875" style="100"/>
    <col min="5374" max="5374" width="26.42578125" style="100" customWidth="1"/>
    <col min="5375" max="5375" width="12.28515625" style="100" customWidth="1"/>
    <col min="5376" max="5376" width="14.85546875" style="100" customWidth="1"/>
    <col min="5377" max="5377" width="14.42578125" style="100" customWidth="1"/>
    <col min="5378" max="5380" width="15.140625" style="100" customWidth="1"/>
    <col min="5381" max="5381" width="13.7109375" style="100" customWidth="1"/>
    <col min="5382" max="5382" width="16.28515625" style="100" customWidth="1"/>
    <col min="5383" max="5386" width="7.85546875" style="100"/>
    <col min="5387" max="5387" width="14.7109375" style="100" bestFit="1" customWidth="1"/>
    <col min="5388" max="5629" width="7.85546875" style="100"/>
    <col min="5630" max="5630" width="26.42578125" style="100" customWidth="1"/>
    <col min="5631" max="5631" width="12.28515625" style="100" customWidth="1"/>
    <col min="5632" max="5632" width="14.85546875" style="100" customWidth="1"/>
    <col min="5633" max="5633" width="14.42578125" style="100" customWidth="1"/>
    <col min="5634" max="5636" width="15.140625" style="100" customWidth="1"/>
    <col min="5637" max="5637" width="13.7109375" style="100" customWidth="1"/>
    <col min="5638" max="5638" width="16.28515625" style="100" customWidth="1"/>
    <col min="5639" max="5642" width="7.85546875" style="100"/>
    <col min="5643" max="5643" width="14.7109375" style="100" bestFit="1" customWidth="1"/>
    <col min="5644" max="5885" width="7.85546875" style="100"/>
    <col min="5886" max="5886" width="26.42578125" style="100" customWidth="1"/>
    <col min="5887" max="5887" width="12.28515625" style="100" customWidth="1"/>
    <col min="5888" max="5888" width="14.85546875" style="100" customWidth="1"/>
    <col min="5889" max="5889" width="14.42578125" style="100" customWidth="1"/>
    <col min="5890" max="5892" width="15.140625" style="100" customWidth="1"/>
    <col min="5893" max="5893" width="13.7109375" style="100" customWidth="1"/>
    <col min="5894" max="5894" width="16.28515625" style="100" customWidth="1"/>
    <col min="5895" max="5898" width="7.85546875" style="100"/>
    <col min="5899" max="5899" width="14.7109375" style="100" bestFit="1" customWidth="1"/>
    <col min="5900" max="6141" width="7.85546875" style="100"/>
    <col min="6142" max="6142" width="26.42578125" style="100" customWidth="1"/>
    <col min="6143" max="6143" width="12.28515625" style="100" customWidth="1"/>
    <col min="6144" max="6144" width="14.85546875" style="100" customWidth="1"/>
    <col min="6145" max="6145" width="14.42578125" style="100" customWidth="1"/>
    <col min="6146" max="6148" width="15.140625" style="100" customWidth="1"/>
    <col min="6149" max="6149" width="13.7109375" style="100" customWidth="1"/>
    <col min="6150" max="6150" width="16.28515625" style="100" customWidth="1"/>
    <col min="6151" max="6154" width="7.85546875" style="100"/>
    <col min="6155" max="6155" width="14.7109375" style="100" bestFit="1" customWidth="1"/>
    <col min="6156" max="6397" width="7.85546875" style="100"/>
    <col min="6398" max="6398" width="26.42578125" style="100" customWidth="1"/>
    <col min="6399" max="6399" width="12.28515625" style="100" customWidth="1"/>
    <col min="6400" max="6400" width="14.85546875" style="100" customWidth="1"/>
    <col min="6401" max="6401" width="14.42578125" style="100" customWidth="1"/>
    <col min="6402" max="6404" width="15.140625" style="100" customWidth="1"/>
    <col min="6405" max="6405" width="13.7109375" style="100" customWidth="1"/>
    <col min="6406" max="6406" width="16.28515625" style="100" customWidth="1"/>
    <col min="6407" max="6410" width="7.85546875" style="100"/>
    <col min="6411" max="6411" width="14.7109375" style="100" bestFit="1" customWidth="1"/>
    <col min="6412" max="6653" width="7.85546875" style="100"/>
    <col min="6654" max="6654" width="26.42578125" style="100" customWidth="1"/>
    <col min="6655" max="6655" width="12.28515625" style="100" customWidth="1"/>
    <col min="6656" max="6656" width="14.85546875" style="100" customWidth="1"/>
    <col min="6657" max="6657" width="14.42578125" style="100" customWidth="1"/>
    <col min="6658" max="6660" width="15.140625" style="100" customWidth="1"/>
    <col min="6661" max="6661" width="13.7109375" style="100" customWidth="1"/>
    <col min="6662" max="6662" width="16.28515625" style="100" customWidth="1"/>
    <col min="6663" max="6666" width="7.85546875" style="100"/>
    <col min="6667" max="6667" width="14.7109375" style="100" bestFit="1" customWidth="1"/>
    <col min="6668" max="6909" width="7.85546875" style="100"/>
    <col min="6910" max="6910" width="26.42578125" style="100" customWidth="1"/>
    <col min="6911" max="6911" width="12.28515625" style="100" customWidth="1"/>
    <col min="6912" max="6912" width="14.85546875" style="100" customWidth="1"/>
    <col min="6913" max="6913" width="14.42578125" style="100" customWidth="1"/>
    <col min="6914" max="6916" width="15.140625" style="100" customWidth="1"/>
    <col min="6917" max="6917" width="13.7109375" style="100" customWidth="1"/>
    <col min="6918" max="6918" width="16.28515625" style="100" customWidth="1"/>
    <col min="6919" max="6922" width="7.85546875" style="100"/>
    <col min="6923" max="6923" width="14.7109375" style="100" bestFit="1" customWidth="1"/>
    <col min="6924" max="7165" width="7.85546875" style="100"/>
    <col min="7166" max="7166" width="26.42578125" style="100" customWidth="1"/>
    <col min="7167" max="7167" width="12.28515625" style="100" customWidth="1"/>
    <col min="7168" max="7168" width="14.85546875" style="100" customWidth="1"/>
    <col min="7169" max="7169" width="14.42578125" style="100" customWidth="1"/>
    <col min="7170" max="7172" width="15.140625" style="100" customWidth="1"/>
    <col min="7173" max="7173" width="13.7109375" style="100" customWidth="1"/>
    <col min="7174" max="7174" width="16.28515625" style="100" customWidth="1"/>
    <col min="7175" max="7178" width="7.85546875" style="100"/>
    <col min="7179" max="7179" width="14.7109375" style="100" bestFit="1" customWidth="1"/>
    <col min="7180" max="7421" width="7.85546875" style="100"/>
    <col min="7422" max="7422" width="26.42578125" style="100" customWidth="1"/>
    <col min="7423" max="7423" width="12.28515625" style="100" customWidth="1"/>
    <col min="7424" max="7424" width="14.85546875" style="100" customWidth="1"/>
    <col min="7425" max="7425" width="14.42578125" style="100" customWidth="1"/>
    <col min="7426" max="7428" width="15.140625" style="100" customWidth="1"/>
    <col min="7429" max="7429" width="13.7109375" style="100" customWidth="1"/>
    <col min="7430" max="7430" width="16.28515625" style="100" customWidth="1"/>
    <col min="7431" max="7434" width="7.85546875" style="100"/>
    <col min="7435" max="7435" width="14.7109375" style="100" bestFit="1" customWidth="1"/>
    <col min="7436" max="7677" width="7.85546875" style="100"/>
    <col min="7678" max="7678" width="26.42578125" style="100" customWidth="1"/>
    <col min="7679" max="7679" width="12.28515625" style="100" customWidth="1"/>
    <col min="7680" max="7680" width="14.85546875" style="100" customWidth="1"/>
    <col min="7681" max="7681" width="14.42578125" style="100" customWidth="1"/>
    <col min="7682" max="7684" width="15.140625" style="100" customWidth="1"/>
    <col min="7685" max="7685" width="13.7109375" style="100" customWidth="1"/>
    <col min="7686" max="7686" width="16.28515625" style="100" customWidth="1"/>
    <col min="7687" max="7690" width="7.85546875" style="100"/>
    <col min="7691" max="7691" width="14.7109375" style="100" bestFit="1" customWidth="1"/>
    <col min="7692" max="7933" width="7.85546875" style="100"/>
    <col min="7934" max="7934" width="26.42578125" style="100" customWidth="1"/>
    <col min="7935" max="7935" width="12.28515625" style="100" customWidth="1"/>
    <col min="7936" max="7936" width="14.85546875" style="100" customWidth="1"/>
    <col min="7937" max="7937" width="14.42578125" style="100" customWidth="1"/>
    <col min="7938" max="7940" width="15.140625" style="100" customWidth="1"/>
    <col min="7941" max="7941" width="13.7109375" style="100" customWidth="1"/>
    <col min="7942" max="7942" width="16.28515625" style="100" customWidth="1"/>
    <col min="7943" max="7946" width="7.85546875" style="100"/>
    <col min="7947" max="7947" width="14.7109375" style="100" bestFit="1" customWidth="1"/>
    <col min="7948" max="8189" width="7.85546875" style="100"/>
    <col min="8190" max="8190" width="26.42578125" style="100" customWidth="1"/>
    <col min="8191" max="8191" width="12.28515625" style="100" customWidth="1"/>
    <col min="8192" max="8192" width="14.85546875" style="100" customWidth="1"/>
    <col min="8193" max="8193" width="14.42578125" style="100" customWidth="1"/>
    <col min="8194" max="8196" width="15.140625" style="100" customWidth="1"/>
    <col min="8197" max="8197" width="13.7109375" style="100" customWidth="1"/>
    <col min="8198" max="8198" width="16.28515625" style="100" customWidth="1"/>
    <col min="8199" max="8202" width="7.85546875" style="100"/>
    <col min="8203" max="8203" width="14.7109375" style="100" bestFit="1" customWidth="1"/>
    <col min="8204" max="8445" width="7.85546875" style="100"/>
    <col min="8446" max="8446" width="26.42578125" style="100" customWidth="1"/>
    <col min="8447" max="8447" width="12.28515625" style="100" customWidth="1"/>
    <col min="8448" max="8448" width="14.85546875" style="100" customWidth="1"/>
    <col min="8449" max="8449" width="14.42578125" style="100" customWidth="1"/>
    <col min="8450" max="8452" width="15.140625" style="100" customWidth="1"/>
    <col min="8453" max="8453" width="13.7109375" style="100" customWidth="1"/>
    <col min="8454" max="8454" width="16.28515625" style="100" customWidth="1"/>
    <col min="8455" max="8458" width="7.85546875" style="100"/>
    <col min="8459" max="8459" width="14.7109375" style="100" bestFit="1" customWidth="1"/>
    <col min="8460" max="8701" width="7.85546875" style="100"/>
    <col min="8702" max="8702" width="26.42578125" style="100" customWidth="1"/>
    <col min="8703" max="8703" width="12.28515625" style="100" customWidth="1"/>
    <col min="8704" max="8704" width="14.85546875" style="100" customWidth="1"/>
    <col min="8705" max="8705" width="14.42578125" style="100" customWidth="1"/>
    <col min="8706" max="8708" width="15.140625" style="100" customWidth="1"/>
    <col min="8709" max="8709" width="13.7109375" style="100" customWidth="1"/>
    <col min="8710" max="8710" width="16.28515625" style="100" customWidth="1"/>
    <col min="8711" max="8714" width="7.85546875" style="100"/>
    <col min="8715" max="8715" width="14.7109375" style="100" bestFit="1" customWidth="1"/>
    <col min="8716" max="8957" width="7.85546875" style="100"/>
    <col min="8958" max="8958" width="26.42578125" style="100" customWidth="1"/>
    <col min="8959" max="8959" width="12.28515625" style="100" customWidth="1"/>
    <col min="8960" max="8960" width="14.85546875" style="100" customWidth="1"/>
    <col min="8961" max="8961" width="14.42578125" style="100" customWidth="1"/>
    <col min="8962" max="8964" width="15.140625" style="100" customWidth="1"/>
    <col min="8965" max="8965" width="13.7109375" style="100" customWidth="1"/>
    <col min="8966" max="8966" width="16.28515625" style="100" customWidth="1"/>
    <col min="8967" max="8970" width="7.85546875" style="100"/>
    <col min="8971" max="8971" width="14.7109375" style="100" bestFit="1" customWidth="1"/>
    <col min="8972" max="9213" width="7.85546875" style="100"/>
    <col min="9214" max="9214" width="26.42578125" style="100" customWidth="1"/>
    <col min="9215" max="9215" width="12.28515625" style="100" customWidth="1"/>
    <col min="9216" max="9216" width="14.85546875" style="100" customWidth="1"/>
    <col min="9217" max="9217" width="14.42578125" style="100" customWidth="1"/>
    <col min="9218" max="9220" width="15.140625" style="100" customWidth="1"/>
    <col min="9221" max="9221" width="13.7109375" style="100" customWidth="1"/>
    <col min="9222" max="9222" width="16.28515625" style="100" customWidth="1"/>
    <col min="9223" max="9226" width="7.85546875" style="100"/>
    <col min="9227" max="9227" width="14.7109375" style="100" bestFit="1" customWidth="1"/>
    <col min="9228" max="9469" width="7.85546875" style="100"/>
    <col min="9470" max="9470" width="26.42578125" style="100" customWidth="1"/>
    <col min="9471" max="9471" width="12.28515625" style="100" customWidth="1"/>
    <col min="9472" max="9472" width="14.85546875" style="100" customWidth="1"/>
    <col min="9473" max="9473" width="14.42578125" style="100" customWidth="1"/>
    <col min="9474" max="9476" width="15.140625" style="100" customWidth="1"/>
    <col min="9477" max="9477" width="13.7109375" style="100" customWidth="1"/>
    <col min="9478" max="9478" width="16.28515625" style="100" customWidth="1"/>
    <col min="9479" max="9482" width="7.85546875" style="100"/>
    <col min="9483" max="9483" width="14.7109375" style="100" bestFit="1" customWidth="1"/>
    <col min="9484" max="9725" width="7.85546875" style="100"/>
    <col min="9726" max="9726" width="26.42578125" style="100" customWidth="1"/>
    <col min="9727" max="9727" width="12.28515625" style="100" customWidth="1"/>
    <col min="9728" max="9728" width="14.85546875" style="100" customWidth="1"/>
    <col min="9729" max="9729" width="14.42578125" style="100" customWidth="1"/>
    <col min="9730" max="9732" width="15.140625" style="100" customWidth="1"/>
    <col min="9733" max="9733" width="13.7109375" style="100" customWidth="1"/>
    <col min="9734" max="9734" width="16.28515625" style="100" customWidth="1"/>
    <col min="9735" max="9738" width="7.85546875" style="100"/>
    <col min="9739" max="9739" width="14.7109375" style="100" bestFit="1" customWidth="1"/>
    <col min="9740" max="9981" width="7.85546875" style="100"/>
    <col min="9982" max="9982" width="26.42578125" style="100" customWidth="1"/>
    <col min="9983" max="9983" width="12.28515625" style="100" customWidth="1"/>
    <col min="9984" max="9984" width="14.85546875" style="100" customWidth="1"/>
    <col min="9985" max="9985" width="14.42578125" style="100" customWidth="1"/>
    <col min="9986" max="9988" width="15.140625" style="100" customWidth="1"/>
    <col min="9989" max="9989" width="13.7109375" style="100" customWidth="1"/>
    <col min="9990" max="9990" width="16.28515625" style="100" customWidth="1"/>
    <col min="9991" max="9994" width="7.85546875" style="100"/>
    <col min="9995" max="9995" width="14.7109375" style="100" bestFit="1" customWidth="1"/>
    <col min="9996" max="10237" width="7.85546875" style="100"/>
    <col min="10238" max="10238" width="26.42578125" style="100" customWidth="1"/>
    <col min="10239" max="10239" width="12.28515625" style="100" customWidth="1"/>
    <col min="10240" max="10240" width="14.85546875" style="100" customWidth="1"/>
    <col min="10241" max="10241" width="14.42578125" style="100" customWidth="1"/>
    <col min="10242" max="10244" width="15.140625" style="100" customWidth="1"/>
    <col min="10245" max="10245" width="13.7109375" style="100" customWidth="1"/>
    <col min="10246" max="10246" width="16.28515625" style="100" customWidth="1"/>
    <col min="10247" max="10250" width="7.85546875" style="100"/>
    <col min="10251" max="10251" width="14.7109375" style="100" bestFit="1" customWidth="1"/>
    <col min="10252" max="10493" width="7.85546875" style="100"/>
    <col min="10494" max="10494" width="26.42578125" style="100" customWidth="1"/>
    <col min="10495" max="10495" width="12.28515625" style="100" customWidth="1"/>
    <col min="10496" max="10496" width="14.85546875" style="100" customWidth="1"/>
    <col min="10497" max="10497" width="14.42578125" style="100" customWidth="1"/>
    <col min="10498" max="10500" width="15.140625" style="100" customWidth="1"/>
    <col min="10501" max="10501" width="13.7109375" style="100" customWidth="1"/>
    <col min="10502" max="10502" width="16.28515625" style="100" customWidth="1"/>
    <col min="10503" max="10506" width="7.85546875" style="100"/>
    <col min="10507" max="10507" width="14.7109375" style="100" bestFit="1" customWidth="1"/>
    <col min="10508" max="10749" width="7.85546875" style="100"/>
    <col min="10750" max="10750" width="26.42578125" style="100" customWidth="1"/>
    <col min="10751" max="10751" width="12.28515625" style="100" customWidth="1"/>
    <col min="10752" max="10752" width="14.85546875" style="100" customWidth="1"/>
    <col min="10753" max="10753" width="14.42578125" style="100" customWidth="1"/>
    <col min="10754" max="10756" width="15.140625" style="100" customWidth="1"/>
    <col min="10757" max="10757" width="13.7109375" style="100" customWidth="1"/>
    <col min="10758" max="10758" width="16.28515625" style="100" customWidth="1"/>
    <col min="10759" max="10762" width="7.85546875" style="100"/>
    <col min="10763" max="10763" width="14.7109375" style="100" bestFit="1" customWidth="1"/>
    <col min="10764" max="11005" width="7.85546875" style="100"/>
    <col min="11006" max="11006" width="26.42578125" style="100" customWidth="1"/>
    <col min="11007" max="11007" width="12.28515625" style="100" customWidth="1"/>
    <col min="11008" max="11008" width="14.85546875" style="100" customWidth="1"/>
    <col min="11009" max="11009" width="14.42578125" style="100" customWidth="1"/>
    <col min="11010" max="11012" width="15.140625" style="100" customWidth="1"/>
    <col min="11013" max="11013" width="13.7109375" style="100" customWidth="1"/>
    <col min="11014" max="11014" width="16.28515625" style="100" customWidth="1"/>
    <col min="11015" max="11018" width="7.85546875" style="100"/>
    <col min="11019" max="11019" width="14.7109375" style="100" bestFit="1" customWidth="1"/>
    <col min="11020" max="11261" width="7.85546875" style="100"/>
    <col min="11262" max="11262" width="26.42578125" style="100" customWidth="1"/>
    <col min="11263" max="11263" width="12.28515625" style="100" customWidth="1"/>
    <col min="11264" max="11264" width="14.85546875" style="100" customWidth="1"/>
    <col min="11265" max="11265" width="14.42578125" style="100" customWidth="1"/>
    <col min="11266" max="11268" width="15.140625" style="100" customWidth="1"/>
    <col min="11269" max="11269" width="13.7109375" style="100" customWidth="1"/>
    <col min="11270" max="11270" width="16.28515625" style="100" customWidth="1"/>
    <col min="11271" max="11274" width="7.85546875" style="100"/>
    <col min="11275" max="11275" width="14.7109375" style="100" bestFit="1" customWidth="1"/>
    <col min="11276" max="11517" width="7.85546875" style="100"/>
    <col min="11518" max="11518" width="26.42578125" style="100" customWidth="1"/>
    <col min="11519" max="11519" width="12.28515625" style="100" customWidth="1"/>
    <col min="11520" max="11520" width="14.85546875" style="100" customWidth="1"/>
    <col min="11521" max="11521" width="14.42578125" style="100" customWidth="1"/>
    <col min="11522" max="11524" width="15.140625" style="100" customWidth="1"/>
    <col min="11525" max="11525" width="13.7109375" style="100" customWidth="1"/>
    <col min="11526" max="11526" width="16.28515625" style="100" customWidth="1"/>
    <col min="11527" max="11530" width="7.85546875" style="100"/>
    <col min="11531" max="11531" width="14.7109375" style="100" bestFit="1" customWidth="1"/>
    <col min="11532" max="11773" width="7.85546875" style="100"/>
    <col min="11774" max="11774" width="26.42578125" style="100" customWidth="1"/>
    <col min="11775" max="11775" width="12.28515625" style="100" customWidth="1"/>
    <col min="11776" max="11776" width="14.85546875" style="100" customWidth="1"/>
    <col min="11777" max="11777" width="14.42578125" style="100" customWidth="1"/>
    <col min="11778" max="11780" width="15.140625" style="100" customWidth="1"/>
    <col min="11781" max="11781" width="13.7109375" style="100" customWidth="1"/>
    <col min="11782" max="11782" width="16.28515625" style="100" customWidth="1"/>
    <col min="11783" max="11786" width="7.85546875" style="100"/>
    <col min="11787" max="11787" width="14.7109375" style="100" bestFit="1" customWidth="1"/>
    <col min="11788" max="12029" width="7.85546875" style="100"/>
    <col min="12030" max="12030" width="26.42578125" style="100" customWidth="1"/>
    <col min="12031" max="12031" width="12.28515625" style="100" customWidth="1"/>
    <col min="12032" max="12032" width="14.85546875" style="100" customWidth="1"/>
    <col min="12033" max="12033" width="14.42578125" style="100" customWidth="1"/>
    <col min="12034" max="12036" width="15.140625" style="100" customWidth="1"/>
    <col min="12037" max="12037" width="13.7109375" style="100" customWidth="1"/>
    <col min="12038" max="12038" width="16.28515625" style="100" customWidth="1"/>
    <col min="12039" max="12042" width="7.85546875" style="100"/>
    <col min="12043" max="12043" width="14.7109375" style="100" bestFit="1" customWidth="1"/>
    <col min="12044" max="12285" width="7.85546875" style="100"/>
    <col min="12286" max="12286" width="26.42578125" style="100" customWidth="1"/>
    <col min="12287" max="12287" width="12.28515625" style="100" customWidth="1"/>
    <col min="12288" max="12288" width="14.85546875" style="100" customWidth="1"/>
    <col min="12289" max="12289" width="14.42578125" style="100" customWidth="1"/>
    <col min="12290" max="12292" width="15.140625" style="100" customWidth="1"/>
    <col min="12293" max="12293" width="13.7109375" style="100" customWidth="1"/>
    <col min="12294" max="12294" width="16.28515625" style="100" customWidth="1"/>
    <col min="12295" max="12298" width="7.85546875" style="100"/>
    <col min="12299" max="12299" width="14.7109375" style="100" bestFit="1" customWidth="1"/>
    <col min="12300" max="12541" width="7.85546875" style="100"/>
    <col min="12542" max="12542" width="26.42578125" style="100" customWidth="1"/>
    <col min="12543" max="12543" width="12.28515625" style="100" customWidth="1"/>
    <col min="12544" max="12544" width="14.85546875" style="100" customWidth="1"/>
    <col min="12545" max="12545" width="14.42578125" style="100" customWidth="1"/>
    <col min="12546" max="12548" width="15.140625" style="100" customWidth="1"/>
    <col min="12549" max="12549" width="13.7109375" style="100" customWidth="1"/>
    <col min="12550" max="12550" width="16.28515625" style="100" customWidth="1"/>
    <col min="12551" max="12554" width="7.85546875" style="100"/>
    <col min="12555" max="12555" width="14.7109375" style="100" bestFit="1" customWidth="1"/>
    <col min="12556" max="12797" width="7.85546875" style="100"/>
    <col min="12798" max="12798" width="26.42578125" style="100" customWidth="1"/>
    <col min="12799" max="12799" width="12.28515625" style="100" customWidth="1"/>
    <col min="12800" max="12800" width="14.85546875" style="100" customWidth="1"/>
    <col min="12801" max="12801" width="14.42578125" style="100" customWidth="1"/>
    <col min="12802" max="12804" width="15.140625" style="100" customWidth="1"/>
    <col min="12805" max="12805" width="13.7109375" style="100" customWidth="1"/>
    <col min="12806" max="12806" width="16.28515625" style="100" customWidth="1"/>
    <col min="12807" max="12810" width="7.85546875" style="100"/>
    <col min="12811" max="12811" width="14.7109375" style="100" bestFit="1" customWidth="1"/>
    <col min="12812" max="13053" width="7.85546875" style="100"/>
    <col min="13054" max="13054" width="26.42578125" style="100" customWidth="1"/>
    <col min="13055" max="13055" width="12.28515625" style="100" customWidth="1"/>
    <col min="13056" max="13056" width="14.85546875" style="100" customWidth="1"/>
    <col min="13057" max="13057" width="14.42578125" style="100" customWidth="1"/>
    <col min="13058" max="13060" width="15.140625" style="100" customWidth="1"/>
    <col min="13061" max="13061" width="13.7109375" style="100" customWidth="1"/>
    <col min="13062" max="13062" width="16.28515625" style="100" customWidth="1"/>
    <col min="13063" max="13066" width="7.85546875" style="100"/>
    <col min="13067" max="13067" width="14.7109375" style="100" bestFit="1" customWidth="1"/>
    <col min="13068" max="13309" width="7.85546875" style="100"/>
    <col min="13310" max="13310" width="26.42578125" style="100" customWidth="1"/>
    <col min="13311" max="13311" width="12.28515625" style="100" customWidth="1"/>
    <col min="13312" max="13312" width="14.85546875" style="100" customWidth="1"/>
    <col min="13313" max="13313" width="14.42578125" style="100" customWidth="1"/>
    <col min="13314" max="13316" width="15.140625" style="100" customWidth="1"/>
    <col min="13317" max="13317" width="13.7109375" style="100" customWidth="1"/>
    <col min="13318" max="13318" width="16.28515625" style="100" customWidth="1"/>
    <col min="13319" max="13322" width="7.85546875" style="100"/>
    <col min="13323" max="13323" width="14.7109375" style="100" bestFit="1" customWidth="1"/>
    <col min="13324" max="13565" width="7.85546875" style="100"/>
    <col min="13566" max="13566" width="26.42578125" style="100" customWidth="1"/>
    <col min="13567" max="13567" width="12.28515625" style="100" customWidth="1"/>
    <col min="13568" max="13568" width="14.85546875" style="100" customWidth="1"/>
    <col min="13569" max="13569" width="14.42578125" style="100" customWidth="1"/>
    <col min="13570" max="13572" width="15.140625" style="100" customWidth="1"/>
    <col min="13573" max="13573" width="13.7109375" style="100" customWidth="1"/>
    <col min="13574" max="13574" width="16.28515625" style="100" customWidth="1"/>
    <col min="13575" max="13578" width="7.85546875" style="100"/>
    <col min="13579" max="13579" width="14.7109375" style="100" bestFit="1" customWidth="1"/>
    <col min="13580" max="13821" width="7.85546875" style="100"/>
    <col min="13822" max="13822" width="26.42578125" style="100" customWidth="1"/>
    <col min="13823" max="13823" width="12.28515625" style="100" customWidth="1"/>
    <col min="13824" max="13824" width="14.85546875" style="100" customWidth="1"/>
    <col min="13825" max="13825" width="14.42578125" style="100" customWidth="1"/>
    <col min="13826" max="13828" width="15.140625" style="100" customWidth="1"/>
    <col min="13829" max="13829" width="13.7109375" style="100" customWidth="1"/>
    <col min="13830" max="13830" width="16.28515625" style="100" customWidth="1"/>
    <col min="13831" max="13834" width="7.85546875" style="100"/>
    <col min="13835" max="13835" width="14.7109375" style="100" bestFit="1" customWidth="1"/>
    <col min="13836" max="14077" width="7.85546875" style="100"/>
    <col min="14078" max="14078" width="26.42578125" style="100" customWidth="1"/>
    <col min="14079" max="14079" width="12.28515625" style="100" customWidth="1"/>
    <col min="14080" max="14080" width="14.85546875" style="100" customWidth="1"/>
    <col min="14081" max="14081" width="14.42578125" style="100" customWidth="1"/>
    <col min="14082" max="14084" width="15.140625" style="100" customWidth="1"/>
    <col min="14085" max="14085" width="13.7109375" style="100" customWidth="1"/>
    <col min="14086" max="14086" width="16.28515625" style="100" customWidth="1"/>
    <col min="14087" max="14090" width="7.85546875" style="100"/>
    <col min="14091" max="14091" width="14.7109375" style="100" bestFit="1" customWidth="1"/>
    <col min="14092" max="14333" width="7.85546875" style="100"/>
    <col min="14334" max="14334" width="26.42578125" style="100" customWidth="1"/>
    <col min="14335" max="14335" width="12.28515625" style="100" customWidth="1"/>
    <col min="14336" max="14336" width="14.85546875" style="100" customWidth="1"/>
    <col min="14337" max="14337" width="14.42578125" style="100" customWidth="1"/>
    <col min="14338" max="14340" width="15.140625" style="100" customWidth="1"/>
    <col min="14341" max="14341" width="13.7109375" style="100" customWidth="1"/>
    <col min="14342" max="14342" width="16.28515625" style="100" customWidth="1"/>
    <col min="14343" max="14346" width="7.85546875" style="100"/>
    <col min="14347" max="14347" width="14.7109375" style="100" bestFit="1" customWidth="1"/>
    <col min="14348" max="14589" width="7.85546875" style="100"/>
    <col min="14590" max="14590" width="26.42578125" style="100" customWidth="1"/>
    <col min="14591" max="14591" width="12.28515625" style="100" customWidth="1"/>
    <col min="14592" max="14592" width="14.85546875" style="100" customWidth="1"/>
    <col min="14593" max="14593" width="14.42578125" style="100" customWidth="1"/>
    <col min="14594" max="14596" width="15.140625" style="100" customWidth="1"/>
    <col min="14597" max="14597" width="13.7109375" style="100" customWidth="1"/>
    <col min="14598" max="14598" width="16.28515625" style="100" customWidth="1"/>
    <col min="14599" max="14602" width="7.85546875" style="100"/>
    <col min="14603" max="14603" width="14.7109375" style="100" bestFit="1" customWidth="1"/>
    <col min="14604" max="14845" width="7.85546875" style="100"/>
    <col min="14846" max="14846" width="26.42578125" style="100" customWidth="1"/>
    <col min="14847" max="14847" width="12.28515625" style="100" customWidth="1"/>
    <col min="14848" max="14848" width="14.85546875" style="100" customWidth="1"/>
    <col min="14849" max="14849" width="14.42578125" style="100" customWidth="1"/>
    <col min="14850" max="14852" width="15.140625" style="100" customWidth="1"/>
    <col min="14853" max="14853" width="13.7109375" style="100" customWidth="1"/>
    <col min="14854" max="14854" width="16.28515625" style="100" customWidth="1"/>
    <col min="14855" max="14858" width="7.85546875" style="100"/>
    <col min="14859" max="14859" width="14.7109375" style="100" bestFit="1" customWidth="1"/>
    <col min="14860" max="15101" width="7.85546875" style="100"/>
    <col min="15102" max="15102" width="26.42578125" style="100" customWidth="1"/>
    <col min="15103" max="15103" width="12.28515625" style="100" customWidth="1"/>
    <col min="15104" max="15104" width="14.85546875" style="100" customWidth="1"/>
    <col min="15105" max="15105" width="14.42578125" style="100" customWidth="1"/>
    <col min="15106" max="15108" width="15.140625" style="100" customWidth="1"/>
    <col min="15109" max="15109" width="13.7109375" style="100" customWidth="1"/>
    <col min="15110" max="15110" width="16.28515625" style="100" customWidth="1"/>
    <col min="15111" max="15114" width="7.85546875" style="100"/>
    <col min="15115" max="15115" width="14.7109375" style="100" bestFit="1" customWidth="1"/>
    <col min="15116" max="15357" width="7.85546875" style="100"/>
    <col min="15358" max="15358" width="26.42578125" style="100" customWidth="1"/>
    <col min="15359" max="15359" width="12.28515625" style="100" customWidth="1"/>
    <col min="15360" max="15360" width="14.85546875" style="100" customWidth="1"/>
    <col min="15361" max="15361" width="14.42578125" style="100" customWidth="1"/>
    <col min="15362" max="15364" width="15.140625" style="100" customWidth="1"/>
    <col min="15365" max="15365" width="13.7109375" style="100" customWidth="1"/>
    <col min="15366" max="15366" width="16.28515625" style="100" customWidth="1"/>
    <col min="15367" max="15370" width="7.85546875" style="100"/>
    <col min="15371" max="15371" width="14.7109375" style="100" bestFit="1" customWidth="1"/>
    <col min="15372" max="15613" width="7.85546875" style="100"/>
    <col min="15614" max="15614" width="26.42578125" style="100" customWidth="1"/>
    <col min="15615" max="15615" width="12.28515625" style="100" customWidth="1"/>
    <col min="15616" max="15616" width="14.85546875" style="100" customWidth="1"/>
    <col min="15617" max="15617" width="14.42578125" style="100" customWidth="1"/>
    <col min="15618" max="15620" width="15.140625" style="100" customWidth="1"/>
    <col min="15621" max="15621" width="13.7109375" style="100" customWidth="1"/>
    <col min="15622" max="15622" width="16.28515625" style="100" customWidth="1"/>
    <col min="15623" max="15626" width="7.85546875" style="100"/>
    <col min="15627" max="15627" width="14.7109375" style="100" bestFit="1" customWidth="1"/>
    <col min="15628" max="15869" width="7.85546875" style="100"/>
    <col min="15870" max="15870" width="26.42578125" style="100" customWidth="1"/>
    <col min="15871" max="15871" width="12.28515625" style="100" customWidth="1"/>
    <col min="15872" max="15872" width="14.85546875" style="100" customWidth="1"/>
    <col min="15873" max="15873" width="14.42578125" style="100" customWidth="1"/>
    <col min="15874" max="15876" width="15.140625" style="100" customWidth="1"/>
    <col min="15877" max="15877" width="13.7109375" style="100" customWidth="1"/>
    <col min="15878" max="15878" width="16.28515625" style="100" customWidth="1"/>
    <col min="15879" max="15882" width="7.85546875" style="100"/>
    <col min="15883" max="15883" width="14.7109375" style="100" bestFit="1" customWidth="1"/>
    <col min="15884" max="16125" width="7.85546875" style="100"/>
    <col min="16126" max="16126" width="26.42578125" style="100" customWidth="1"/>
    <col min="16127" max="16127" width="12.28515625" style="100" customWidth="1"/>
    <col min="16128" max="16128" width="14.85546875" style="100" customWidth="1"/>
    <col min="16129" max="16129" width="14.42578125" style="100" customWidth="1"/>
    <col min="16130" max="16132" width="15.140625" style="100" customWidth="1"/>
    <col min="16133" max="16133" width="13.7109375" style="100" customWidth="1"/>
    <col min="16134" max="16134" width="16.28515625" style="100" customWidth="1"/>
    <col min="16135" max="16138" width="7.85546875" style="100"/>
    <col min="16139" max="16139" width="14.7109375" style="100" bestFit="1" customWidth="1"/>
    <col min="16140" max="16384" width="7.85546875" style="100"/>
  </cols>
  <sheetData>
    <row r="1" spans="1:11" x14ac:dyDescent="0.2">
      <c r="F1" s="100" t="s">
        <v>94</v>
      </c>
    </row>
    <row r="5" spans="1:11" ht="15.75" customHeight="1" x14ac:dyDescent="0.25">
      <c r="A5" s="234" t="s">
        <v>95</v>
      </c>
      <c r="B5" s="234"/>
      <c r="C5" s="234"/>
      <c r="D5" s="234"/>
      <c r="E5" s="234"/>
      <c r="F5" s="234"/>
      <c r="G5" s="234"/>
      <c r="H5" s="234"/>
      <c r="I5" s="234"/>
    </row>
    <row r="6" spans="1:11" s="104" customFormat="1" ht="21.75" customHeight="1" x14ac:dyDescent="0.35">
      <c r="A6" s="101" t="s">
        <v>0</v>
      </c>
      <c r="B6" s="102"/>
      <c r="C6" s="103"/>
      <c r="D6" s="103"/>
      <c r="E6" s="103"/>
      <c r="F6" s="103"/>
      <c r="G6" s="103"/>
      <c r="H6" s="103"/>
      <c r="I6" s="103"/>
    </row>
    <row r="7" spans="1:11" s="106" customFormat="1" ht="15.75" x14ac:dyDescent="0.25">
      <c r="A7" s="105" t="s">
        <v>69</v>
      </c>
    </row>
    <row r="8" spans="1:11" s="108" customFormat="1" ht="25.5" customHeight="1" x14ac:dyDescent="0.2">
      <c r="A8" s="107" t="s">
        <v>3</v>
      </c>
      <c r="B8" s="107" t="s">
        <v>70</v>
      </c>
      <c r="C8" s="107" t="s">
        <v>71</v>
      </c>
      <c r="D8" s="107" t="s">
        <v>72</v>
      </c>
      <c r="E8" s="107" t="s">
        <v>73</v>
      </c>
      <c r="F8" s="107" t="s">
        <v>74</v>
      </c>
      <c r="G8" s="107" t="s">
        <v>75</v>
      </c>
      <c r="H8" s="107" t="s">
        <v>76</v>
      </c>
      <c r="I8" s="107" t="s">
        <v>77</v>
      </c>
      <c r="K8" s="108" t="s">
        <v>96</v>
      </c>
    </row>
    <row r="9" spans="1:11" customFormat="1" ht="17.25" customHeight="1" x14ac:dyDescent="0.25">
      <c r="A9" s="158" t="s">
        <v>97</v>
      </c>
      <c r="B9" s="159"/>
      <c r="C9" s="160"/>
      <c r="D9" s="161"/>
      <c r="E9" s="161"/>
      <c r="F9" s="161"/>
      <c r="G9" s="161"/>
      <c r="H9" s="161"/>
      <c r="I9" s="162"/>
    </row>
    <row r="10" spans="1:11" customFormat="1" ht="12.95" customHeight="1" x14ac:dyDescent="0.25">
      <c r="A10" s="109" t="s">
        <v>98</v>
      </c>
      <c r="B10" s="110">
        <v>1</v>
      </c>
      <c r="C10" s="164">
        <v>40.5</v>
      </c>
      <c r="D10" s="111">
        <v>11</v>
      </c>
      <c r="E10" s="112">
        <v>0</v>
      </c>
      <c r="F10" s="112">
        <f>(((C10*2*26)*B10)*1.7+((C10*10*4)*B10)*2)</f>
        <v>6820.2</v>
      </c>
      <c r="G10" s="112">
        <v>0</v>
      </c>
      <c r="H10" s="112">
        <f>C10*220*B10</f>
        <v>8910</v>
      </c>
      <c r="I10" s="124">
        <f t="shared" ref="I10:I14" si="0">E10+F10+G10+H10</f>
        <v>15730.2</v>
      </c>
      <c r="K10" s="163">
        <f>80*C10*B10</f>
        <v>3240</v>
      </c>
    </row>
    <row r="11" spans="1:11" customFormat="1" ht="12.95" customHeight="1" x14ac:dyDescent="0.25">
      <c r="A11" s="109" t="s">
        <v>99</v>
      </c>
      <c r="B11" s="110">
        <v>1</v>
      </c>
      <c r="C11" s="164">
        <f>19.24*1.3</f>
        <v>25.012</v>
      </c>
      <c r="D11" s="111">
        <v>11</v>
      </c>
      <c r="E11" s="112">
        <v>0</v>
      </c>
      <c r="F11" s="112">
        <f t="shared" ref="F11:F20" si="1">(((C11*2*26)*B11)*1.7+((C11*10*4)*B11)*2)</f>
        <v>4212.0208000000002</v>
      </c>
      <c r="G11" s="112">
        <v>0</v>
      </c>
      <c r="H11" s="112">
        <f>C11*330*B11</f>
        <v>8253.9600000000009</v>
      </c>
      <c r="I11" s="124">
        <f t="shared" si="0"/>
        <v>12465.980800000001</v>
      </c>
      <c r="K11" s="163">
        <f>170*C11*B11</f>
        <v>4252.04</v>
      </c>
    </row>
    <row r="12" spans="1:11" customFormat="1" ht="12.95" customHeight="1" x14ac:dyDescent="0.25">
      <c r="A12" s="109" t="s">
        <v>100</v>
      </c>
      <c r="B12" s="110">
        <v>2</v>
      </c>
      <c r="C12" s="164">
        <f>(4070.76/220)*1.04</f>
        <v>19.243592727272727</v>
      </c>
      <c r="D12" s="111" t="s">
        <v>101</v>
      </c>
      <c r="E12" s="112">
        <v>0</v>
      </c>
      <c r="F12" s="112">
        <f t="shared" si="1"/>
        <v>6481.2420305454543</v>
      </c>
      <c r="G12" s="112">
        <f>((C12*8*26)*0.4)*B12/2</f>
        <v>1601.0669149090909</v>
      </c>
      <c r="H12" s="112">
        <f>C12*220*B12</f>
        <v>8467.1808000000001</v>
      </c>
      <c r="I12" s="124">
        <f t="shared" si="0"/>
        <v>16549.489745454546</v>
      </c>
      <c r="J12" s="100"/>
      <c r="K12" s="163">
        <f t="shared" ref="K12" si="2">170*C12*B12</f>
        <v>6542.8215272727275</v>
      </c>
    </row>
    <row r="13" spans="1:11" customFormat="1" ht="12.95" customHeight="1" x14ac:dyDescent="0.25">
      <c r="A13" s="109" t="s">
        <v>102</v>
      </c>
      <c r="B13" s="110">
        <v>1</v>
      </c>
      <c r="C13" s="164">
        <f>(2366.15/220)*1.04</f>
        <v>11.185436363636365</v>
      </c>
      <c r="D13" s="111">
        <v>11</v>
      </c>
      <c r="E13" s="112">
        <v>0</v>
      </c>
      <c r="F13" s="112">
        <f t="shared" si="1"/>
        <v>1883.6274836363639</v>
      </c>
      <c r="G13" s="112">
        <f t="shared" ref="G13:G20" si="3">((C13*8*26)*0.4)*B13/2</f>
        <v>465.31415272727281</v>
      </c>
      <c r="H13" s="112">
        <f t="shared" ref="H13:H20" si="4">C13*220*B13</f>
        <v>2460.7960000000003</v>
      </c>
      <c r="I13" s="124">
        <f t="shared" si="0"/>
        <v>4809.7376363636367</v>
      </c>
      <c r="K13" s="163">
        <f>170*C13*B13</f>
        <v>1901.5241818181821</v>
      </c>
    </row>
    <row r="14" spans="1:11" customFormat="1" ht="12.95" customHeight="1" x14ac:dyDescent="0.25">
      <c r="A14" s="109" t="s">
        <v>103</v>
      </c>
      <c r="B14" s="110">
        <v>4</v>
      </c>
      <c r="C14" s="164">
        <v>17.68</v>
      </c>
      <c r="D14" s="111" t="s">
        <v>101</v>
      </c>
      <c r="E14" s="112">
        <v>0</v>
      </c>
      <c r="F14" s="112">
        <f t="shared" si="1"/>
        <v>11909.248</v>
      </c>
      <c r="G14" s="112">
        <f t="shared" si="3"/>
        <v>2941.9520000000002</v>
      </c>
      <c r="H14" s="112">
        <f t="shared" si="4"/>
        <v>15558.4</v>
      </c>
      <c r="I14" s="124">
        <f t="shared" si="0"/>
        <v>30409.599999999999</v>
      </c>
      <c r="K14" s="163">
        <f>170*C14*B14</f>
        <v>12022.4</v>
      </c>
    </row>
    <row r="15" spans="1:11" customFormat="1" ht="12.95" customHeight="1" x14ac:dyDescent="0.25">
      <c r="A15" s="113" t="s">
        <v>78</v>
      </c>
      <c r="B15" s="110"/>
      <c r="C15" s="164"/>
      <c r="D15" s="111"/>
      <c r="E15" s="112"/>
      <c r="F15" s="112"/>
      <c r="G15" s="112"/>
      <c r="H15" s="112"/>
      <c r="I15" s="114"/>
      <c r="K15" s="163"/>
    </row>
    <row r="16" spans="1:11" customFormat="1" ht="12.95" customHeight="1" x14ac:dyDescent="0.25">
      <c r="A16" s="109" t="s">
        <v>90</v>
      </c>
      <c r="B16" s="110">
        <v>20</v>
      </c>
      <c r="C16" s="164">
        <v>10.39</v>
      </c>
      <c r="D16" s="111" t="s">
        <v>101</v>
      </c>
      <c r="E16" s="112">
        <v>0</v>
      </c>
      <c r="F16" s="112">
        <f t="shared" si="1"/>
        <v>34993.519999999997</v>
      </c>
      <c r="G16" s="112">
        <f t="shared" si="3"/>
        <v>8644.48</v>
      </c>
      <c r="H16" s="112">
        <f t="shared" si="4"/>
        <v>45716</v>
      </c>
      <c r="I16" s="124">
        <f>E16+F16+G16+H16</f>
        <v>89354</v>
      </c>
      <c r="K16" s="163">
        <f>170*C16*B16</f>
        <v>35326</v>
      </c>
    </row>
    <row r="17" spans="1:11" customFormat="1" ht="12.95" customHeight="1" x14ac:dyDescent="0.25">
      <c r="A17" s="109" t="s">
        <v>93</v>
      </c>
      <c r="B17" s="110">
        <v>16</v>
      </c>
      <c r="C17" s="164">
        <v>5.7</v>
      </c>
      <c r="D17" s="111" t="s">
        <v>101</v>
      </c>
      <c r="E17" s="112">
        <v>0</v>
      </c>
      <c r="F17" s="112">
        <f t="shared" si="1"/>
        <v>15358.080000000002</v>
      </c>
      <c r="G17" s="112">
        <f t="shared" si="3"/>
        <v>3793.9200000000005</v>
      </c>
      <c r="H17" s="112">
        <f t="shared" si="4"/>
        <v>20064</v>
      </c>
      <c r="I17" s="124">
        <f>E17+F17+G17+H17</f>
        <v>39216</v>
      </c>
      <c r="K17" s="163">
        <f t="shared" ref="K17:K20" si="5">170*C17*B17</f>
        <v>15504</v>
      </c>
    </row>
    <row r="18" spans="1:11" customFormat="1" ht="12.95" customHeight="1" x14ac:dyDescent="0.25">
      <c r="A18" s="109" t="s">
        <v>82</v>
      </c>
      <c r="B18" s="110">
        <v>4</v>
      </c>
      <c r="C18" s="164">
        <v>9.33</v>
      </c>
      <c r="D18" s="111" t="s">
        <v>101</v>
      </c>
      <c r="E18" s="112">
        <v>0</v>
      </c>
      <c r="F18" s="112">
        <f t="shared" si="1"/>
        <v>6284.6880000000001</v>
      </c>
      <c r="G18" s="112">
        <f t="shared" si="3"/>
        <v>1552.5120000000002</v>
      </c>
      <c r="H18" s="112">
        <f t="shared" si="4"/>
        <v>8210.4</v>
      </c>
      <c r="I18" s="124">
        <f>E18+F18+G18+H18</f>
        <v>16047.6</v>
      </c>
      <c r="K18" s="163">
        <f t="shared" si="5"/>
        <v>6344.4</v>
      </c>
    </row>
    <row r="19" spans="1:11" customFormat="1" ht="12.95" customHeight="1" x14ac:dyDescent="0.25">
      <c r="A19" s="109" t="s">
        <v>104</v>
      </c>
      <c r="B19" s="110">
        <v>6</v>
      </c>
      <c r="C19" s="164">
        <f>(2002/220)*1.04</f>
        <v>9.4640000000000004</v>
      </c>
      <c r="D19" s="111" t="s">
        <v>101</v>
      </c>
      <c r="E19" s="112">
        <v>0</v>
      </c>
      <c r="F19" s="112">
        <f t="shared" si="1"/>
        <v>9562.4256000000005</v>
      </c>
      <c r="G19" s="112">
        <f t="shared" si="3"/>
        <v>2362.2144000000003</v>
      </c>
      <c r="H19" s="112">
        <f t="shared" si="4"/>
        <v>12492.48</v>
      </c>
      <c r="I19" s="124">
        <f>E19+F19+G19+H19</f>
        <v>24417.120000000003</v>
      </c>
      <c r="K19" s="163">
        <f t="shared" si="5"/>
        <v>9653.2800000000007</v>
      </c>
    </row>
    <row r="20" spans="1:11" customFormat="1" ht="12.95" customHeight="1" x14ac:dyDescent="0.25">
      <c r="A20" s="109" t="s">
        <v>105</v>
      </c>
      <c r="B20" s="110">
        <v>3</v>
      </c>
      <c r="C20" s="164">
        <f>(2002/220)*1.04</f>
        <v>9.4640000000000004</v>
      </c>
      <c r="D20" s="111" t="s">
        <v>101</v>
      </c>
      <c r="E20" s="112">
        <v>0</v>
      </c>
      <c r="F20" s="112">
        <f t="shared" si="1"/>
        <v>4781.2128000000002</v>
      </c>
      <c r="G20" s="112">
        <f t="shared" si="3"/>
        <v>1181.1072000000001</v>
      </c>
      <c r="H20" s="112">
        <f t="shared" si="4"/>
        <v>6246.24</v>
      </c>
      <c r="I20" s="124">
        <f>E20+F20+G20+H20</f>
        <v>12208.560000000001</v>
      </c>
      <c r="K20" s="163">
        <f t="shared" si="5"/>
        <v>4826.6400000000003</v>
      </c>
    </row>
    <row r="21" spans="1:11" customFormat="1" ht="12.95" customHeight="1" x14ac:dyDescent="0.25">
      <c r="A21" s="165"/>
      <c r="B21" s="110"/>
      <c r="C21" s="166"/>
      <c r="D21" s="111"/>
      <c r="E21" s="111"/>
      <c r="F21" s="111"/>
      <c r="G21" s="111"/>
      <c r="H21" s="167"/>
      <c r="I21" s="168"/>
      <c r="K21" s="169">
        <f>SUM(K10:K20)</f>
        <v>99613.105709090902</v>
      </c>
    </row>
    <row r="22" spans="1:11" customFormat="1" ht="12.95" customHeight="1" x14ac:dyDescent="0.25">
      <c r="A22" s="113"/>
      <c r="B22" s="170"/>
      <c r="C22" s="166"/>
      <c r="D22" s="111"/>
      <c r="E22" s="111"/>
      <c r="F22" s="111"/>
      <c r="G22" s="111"/>
      <c r="H22" s="111"/>
      <c r="I22" s="171"/>
    </row>
    <row r="23" spans="1:11" customFormat="1" ht="12.95" customHeight="1" x14ac:dyDescent="0.25">
      <c r="A23" s="115"/>
      <c r="B23" s="172"/>
      <c r="C23" s="166"/>
      <c r="D23" s="111"/>
      <c r="E23" s="173"/>
      <c r="F23" s="173"/>
      <c r="G23" s="173"/>
      <c r="H23" s="167"/>
      <c r="I23" s="168"/>
    </row>
    <row r="24" spans="1:11" customFormat="1" ht="14.1" customHeight="1" x14ac:dyDescent="0.25">
      <c r="A24" s="116" t="s">
        <v>148</v>
      </c>
      <c r="B24" s="174"/>
      <c r="C24" s="117"/>
      <c r="D24" s="118"/>
      <c r="E24" s="118"/>
      <c r="F24" s="118"/>
      <c r="G24" s="118"/>
      <c r="H24" s="118"/>
      <c r="I24" s="119"/>
    </row>
    <row r="25" spans="1:11" s="106" customFormat="1" ht="14.25" customHeight="1" x14ac:dyDescent="0.2">
      <c r="C25" s="120"/>
      <c r="D25" s="235" t="s">
        <v>79</v>
      </c>
      <c r="E25" s="236"/>
      <c r="F25" s="236"/>
      <c r="G25" s="236"/>
      <c r="H25" s="237"/>
      <c r="I25" s="121">
        <f>SUM(I10:I23)</f>
        <v>261208.28818181818</v>
      </c>
    </row>
    <row r="26" spans="1:11" s="106" customFormat="1" ht="17.25" customHeight="1" x14ac:dyDescent="0.25">
      <c r="A26" s="105" t="s">
        <v>106</v>
      </c>
    </row>
    <row r="27" spans="1:11" s="106" customFormat="1" ht="13.5" customHeight="1" x14ac:dyDescent="0.2">
      <c r="A27" s="175" t="s">
        <v>107</v>
      </c>
      <c r="B27" s="176" t="s">
        <v>108</v>
      </c>
      <c r="C27" s="177" t="s">
        <v>109</v>
      </c>
      <c r="D27" s="178"/>
      <c r="E27" s="178"/>
      <c r="F27" s="178"/>
      <c r="G27" s="178"/>
      <c r="H27" s="178"/>
    </row>
    <row r="28" spans="1:11" s="106" customFormat="1" ht="15.75" hidden="1" customHeight="1" x14ac:dyDescent="0.2">
      <c r="A28" s="179" t="s">
        <v>110</v>
      </c>
      <c r="B28" s="180"/>
      <c r="C28" s="181"/>
      <c r="D28" s="182"/>
      <c r="E28" s="182"/>
      <c r="F28" s="182"/>
      <c r="G28" s="182"/>
      <c r="H28" s="182"/>
    </row>
    <row r="29" spans="1:11" s="106" customFormat="1" ht="12.75" hidden="1" x14ac:dyDescent="0.2">
      <c r="A29" s="183" t="s">
        <v>111</v>
      </c>
      <c r="B29" s="184">
        <v>0.2</v>
      </c>
      <c r="C29" s="185">
        <f>I25*B29</f>
        <v>52241.657636363641</v>
      </c>
      <c r="D29" s="182"/>
      <c r="E29" s="182"/>
      <c r="F29" s="182"/>
      <c r="G29" s="182"/>
      <c r="H29" s="182"/>
    </row>
    <row r="30" spans="1:11" s="106" customFormat="1" ht="12.75" hidden="1" x14ac:dyDescent="0.2">
      <c r="A30" s="183" t="s">
        <v>112</v>
      </c>
      <c r="B30" s="184">
        <v>8.5000000000000006E-2</v>
      </c>
      <c r="C30" s="185">
        <f>I25*B30</f>
        <v>22202.704495454545</v>
      </c>
      <c r="D30" s="186"/>
      <c r="E30" s="186"/>
      <c r="F30" s="186"/>
      <c r="G30" s="186"/>
      <c r="H30" s="182"/>
    </row>
    <row r="31" spans="1:11" s="106" customFormat="1" ht="12.75" hidden="1" x14ac:dyDescent="0.2">
      <c r="A31" s="183"/>
      <c r="B31" s="184"/>
      <c r="C31" s="185"/>
      <c r="D31" s="186"/>
      <c r="E31" s="186"/>
      <c r="F31" s="186"/>
      <c r="G31" s="186"/>
      <c r="H31" s="182"/>
    </row>
    <row r="32" spans="1:11" s="106" customFormat="1" ht="15.75" hidden="1" customHeight="1" x14ac:dyDescent="0.2">
      <c r="A32" s="187" t="s">
        <v>113</v>
      </c>
      <c r="B32" s="188"/>
      <c r="C32" s="189"/>
      <c r="D32" s="182"/>
      <c r="E32" s="182"/>
      <c r="F32" s="182"/>
      <c r="G32" s="182"/>
      <c r="H32" s="182"/>
    </row>
    <row r="33" spans="1:9" s="106" customFormat="1" ht="12.95" hidden="1" customHeight="1" x14ac:dyDescent="0.2">
      <c r="A33" s="183" t="s">
        <v>114</v>
      </c>
      <c r="B33" s="184">
        <v>0.1091</v>
      </c>
      <c r="C33" s="185">
        <f>I25*B33</f>
        <v>28497.824240636364</v>
      </c>
      <c r="D33" s="182"/>
      <c r="E33" s="182"/>
      <c r="F33" s="182"/>
      <c r="G33" s="182"/>
      <c r="H33" s="182"/>
    </row>
    <row r="34" spans="1:9" s="106" customFormat="1" ht="12.75" hidden="1" x14ac:dyDescent="0.2">
      <c r="A34" s="183" t="s">
        <v>115</v>
      </c>
      <c r="B34" s="184">
        <v>9.4500000000000001E-2</v>
      </c>
      <c r="C34" s="185">
        <f>I25*B34</f>
        <v>24684.183233181819</v>
      </c>
      <c r="D34" s="182"/>
      <c r="E34" s="182"/>
      <c r="F34" s="182"/>
      <c r="G34" s="182"/>
      <c r="H34" s="182"/>
    </row>
    <row r="35" spans="1:9" s="106" customFormat="1" ht="12.75" hidden="1" x14ac:dyDescent="0.2">
      <c r="A35" s="183" t="s">
        <v>116</v>
      </c>
      <c r="B35" s="190">
        <v>5.4999999999999997E-3</v>
      </c>
      <c r="C35" s="185">
        <f>I25*B35</f>
        <v>1436.645585</v>
      </c>
      <c r="D35" s="182"/>
      <c r="E35" s="182"/>
      <c r="F35" s="182"/>
      <c r="G35" s="182"/>
      <c r="H35" s="182"/>
    </row>
    <row r="36" spans="1:9" s="106" customFormat="1" ht="12.75" hidden="1" x14ac:dyDescent="0.2">
      <c r="A36" s="183" t="s">
        <v>117</v>
      </c>
      <c r="B36" s="184">
        <v>0.5</v>
      </c>
      <c r="C36" s="185">
        <f>I25*B36</f>
        <v>130604.14409090909</v>
      </c>
      <c r="D36" s="182"/>
      <c r="E36" s="182"/>
      <c r="F36" s="182"/>
      <c r="G36" s="182"/>
      <c r="H36" s="182"/>
    </row>
    <row r="37" spans="1:9" s="106" customFormat="1" ht="12.75" hidden="1" x14ac:dyDescent="0.2">
      <c r="A37" s="183"/>
      <c r="B37" s="191"/>
      <c r="C37" s="185"/>
      <c r="D37" s="182"/>
      <c r="E37" s="182"/>
      <c r="F37" s="182"/>
      <c r="G37" s="182"/>
      <c r="H37" s="182"/>
    </row>
    <row r="38" spans="1:9" s="106" customFormat="1" ht="15.75" hidden="1" customHeight="1" x14ac:dyDescent="0.2">
      <c r="A38" s="187" t="s">
        <v>118</v>
      </c>
      <c r="B38" s="188"/>
      <c r="C38" s="192"/>
      <c r="D38" s="182"/>
      <c r="E38" s="182"/>
      <c r="F38" s="182"/>
      <c r="G38" s="182"/>
      <c r="H38" s="182"/>
    </row>
    <row r="39" spans="1:9" s="106" customFormat="1" ht="10.5" hidden="1" customHeight="1" x14ac:dyDescent="0.2">
      <c r="A39" s="187"/>
      <c r="B39" s="188"/>
      <c r="C39" s="192"/>
      <c r="D39" s="182"/>
      <c r="E39" s="182"/>
      <c r="F39" s="182"/>
      <c r="G39" s="182"/>
      <c r="H39" s="182"/>
    </row>
    <row r="40" spans="1:9" s="106" customFormat="1" ht="12.95" hidden="1" customHeight="1" x14ac:dyDescent="0.2">
      <c r="A40" s="183" t="s">
        <v>119</v>
      </c>
      <c r="B40" s="184">
        <v>7.9299999999999995E-2</v>
      </c>
      <c r="C40" s="185">
        <f>I25*B40</f>
        <v>20713.817252818179</v>
      </c>
      <c r="D40" s="182"/>
      <c r="E40" s="182"/>
      <c r="F40" s="182"/>
      <c r="G40" s="182"/>
      <c r="H40" s="182"/>
    </row>
    <row r="41" spans="1:9" s="106" customFormat="1" ht="12.95" hidden="1" customHeight="1" x14ac:dyDescent="0.2">
      <c r="A41" s="183"/>
      <c r="B41" s="184"/>
      <c r="C41" s="185"/>
      <c r="D41" s="182"/>
      <c r="E41" s="182"/>
      <c r="F41" s="182"/>
      <c r="G41" s="182"/>
      <c r="H41" s="182"/>
    </row>
    <row r="42" spans="1:9" s="106" customFormat="1" ht="15.75" hidden="1" customHeight="1" x14ac:dyDescent="0.2">
      <c r="A42" s="187" t="s">
        <v>120</v>
      </c>
      <c r="B42" s="188"/>
      <c r="C42" s="192"/>
      <c r="D42" s="182"/>
      <c r="E42" s="182"/>
      <c r="F42" s="182"/>
      <c r="G42" s="182"/>
      <c r="H42" s="182"/>
    </row>
    <row r="43" spans="1:9" s="106" customFormat="1" ht="8.25" hidden="1" customHeight="1" x14ac:dyDescent="0.2">
      <c r="A43" s="187"/>
      <c r="B43" s="193"/>
      <c r="C43" s="192"/>
      <c r="D43" s="182"/>
      <c r="E43" s="182"/>
      <c r="F43" s="182"/>
      <c r="G43" s="182"/>
      <c r="H43" s="182"/>
    </row>
    <row r="44" spans="1:9" s="106" customFormat="1" ht="12.95" hidden="1" customHeight="1" x14ac:dyDescent="0.2">
      <c r="A44" s="183" t="s">
        <v>121</v>
      </c>
      <c r="B44" s="194" t="s">
        <v>122</v>
      </c>
      <c r="C44" s="185">
        <f>50/100*C30</f>
        <v>11101.352247727273</v>
      </c>
      <c r="D44" s="182"/>
      <c r="E44" s="182"/>
      <c r="F44" s="182"/>
      <c r="G44" s="182"/>
      <c r="H44" s="182"/>
    </row>
    <row r="45" spans="1:9" s="106" customFormat="1" ht="12.75" hidden="1" x14ac:dyDescent="0.2">
      <c r="A45" s="195"/>
      <c r="B45" s="196"/>
      <c r="C45" s="197"/>
      <c r="D45" s="182"/>
      <c r="E45" s="182"/>
      <c r="F45" s="182"/>
      <c r="G45" s="182"/>
      <c r="H45" s="182"/>
    </row>
    <row r="46" spans="1:9" s="106" customFormat="1" ht="14.25" customHeight="1" x14ac:dyDescent="0.2">
      <c r="A46" s="198" t="s">
        <v>123</v>
      </c>
      <c r="B46" s="199"/>
      <c r="C46" s="200">
        <f>SUM(C29:C45)</f>
        <v>291482.32878209092</v>
      </c>
      <c r="D46" s="201"/>
      <c r="E46" s="202"/>
      <c r="F46" s="202"/>
      <c r="G46" s="202"/>
      <c r="H46" s="203"/>
    </row>
    <row r="47" spans="1:9" s="106" customFormat="1" ht="7.5" customHeight="1" x14ac:dyDescent="0.2">
      <c r="B47" s="178"/>
    </row>
    <row r="48" spans="1:9" s="106" customFormat="1" ht="14.25" customHeight="1" x14ac:dyDescent="0.2">
      <c r="A48" s="204"/>
      <c r="C48" s="205"/>
      <c r="D48" s="238" t="s">
        <v>124</v>
      </c>
      <c r="E48" s="239"/>
      <c r="F48" s="206"/>
      <c r="G48" s="206"/>
      <c r="H48" s="240">
        <f>C46+I25</f>
        <v>552690.61696390912</v>
      </c>
      <c r="I48" s="241"/>
    </row>
    <row r="49" spans="1:8" customFormat="1" ht="17.25" customHeight="1" x14ac:dyDescent="0.25"/>
    <row r="50" spans="1:8" customFormat="1" ht="17.25" customHeight="1" x14ac:dyDescent="0.25">
      <c r="A50" s="230" t="s">
        <v>83</v>
      </c>
      <c r="B50" s="231"/>
      <c r="C50" s="231"/>
      <c r="D50" s="231"/>
      <c r="E50" s="231"/>
      <c r="F50" s="231"/>
      <c r="G50" s="232"/>
    </row>
    <row r="51" spans="1:8" s="106" customFormat="1" ht="12.75" x14ac:dyDescent="0.2"/>
    <row r="52" spans="1:8" s="106" customFormat="1" x14ac:dyDescent="0.2">
      <c r="A52" s="150"/>
      <c r="B52" s="151" t="s">
        <v>84</v>
      </c>
      <c r="C52" s="151" t="s">
        <v>85</v>
      </c>
      <c r="D52" s="152" t="s">
        <v>86</v>
      </c>
      <c r="E52" s="152" t="s">
        <v>87</v>
      </c>
      <c r="F52" s="152" t="s">
        <v>88</v>
      </c>
      <c r="G52" s="152" t="s">
        <v>89</v>
      </c>
    </row>
    <row r="53" spans="1:8" s="106" customFormat="1" ht="12.75" x14ac:dyDescent="0.2">
      <c r="A53" s="109" t="s">
        <v>98</v>
      </c>
      <c r="B53" s="110">
        <v>1</v>
      </c>
      <c r="C53" s="153">
        <v>30</v>
      </c>
      <c r="D53" s="152">
        <v>5.4</v>
      </c>
      <c r="E53" s="152">
        <v>12.96</v>
      </c>
      <c r="F53" s="154">
        <v>10</v>
      </c>
      <c r="G53" s="155">
        <f>(B53*C53*(D53+E53+F53))+(33*(D53+E53))</f>
        <v>1456.6799999999998</v>
      </c>
      <c r="H53" s="233" t="s">
        <v>125</v>
      </c>
    </row>
    <row r="54" spans="1:8" s="106" customFormat="1" ht="12.75" x14ac:dyDescent="0.2">
      <c r="A54" s="109" t="s">
        <v>99</v>
      </c>
      <c r="B54" s="110">
        <v>1</v>
      </c>
      <c r="C54" s="153">
        <v>30</v>
      </c>
      <c r="D54" s="152">
        <v>5.4</v>
      </c>
      <c r="E54" s="152">
        <v>12.96</v>
      </c>
      <c r="F54" s="154">
        <v>10</v>
      </c>
      <c r="G54" s="155">
        <f>(B54*C54*(D54+E54+F54))+(33*(D54+E54))</f>
        <v>1456.6799999999998</v>
      </c>
      <c r="H54" s="233"/>
    </row>
    <row r="55" spans="1:8" s="106" customFormat="1" ht="12.75" x14ac:dyDescent="0.2">
      <c r="A55" s="109" t="s">
        <v>100</v>
      </c>
      <c r="B55" s="110">
        <v>1</v>
      </c>
      <c r="C55" s="153">
        <v>30</v>
      </c>
      <c r="D55" s="152">
        <v>5.4</v>
      </c>
      <c r="E55" s="152">
        <v>12.96</v>
      </c>
      <c r="F55" s="154">
        <v>10</v>
      </c>
      <c r="G55" s="155">
        <f>(B55*C55*(D55+E55+F55))</f>
        <v>850.8</v>
      </c>
      <c r="H55" s="233"/>
    </row>
    <row r="56" spans="1:8" s="106" customFormat="1" ht="12.75" x14ac:dyDescent="0.2">
      <c r="A56" s="109" t="s">
        <v>102</v>
      </c>
      <c r="B56" s="110">
        <v>1</v>
      </c>
      <c r="C56" s="153">
        <v>30</v>
      </c>
      <c r="D56" s="152">
        <v>5.4</v>
      </c>
      <c r="E56" s="152">
        <v>12.96</v>
      </c>
      <c r="F56" s="154">
        <v>10</v>
      </c>
      <c r="G56" s="155">
        <f>(B56*C56*(D56+E56+F56))</f>
        <v>850.8</v>
      </c>
      <c r="H56" s="233"/>
    </row>
    <row r="57" spans="1:8" s="106" customFormat="1" ht="12.75" x14ac:dyDescent="0.2">
      <c r="A57" s="109" t="s">
        <v>103</v>
      </c>
      <c r="B57" s="110">
        <v>2</v>
      </c>
      <c r="C57" s="153">
        <v>30</v>
      </c>
      <c r="D57" s="152">
        <v>5.4</v>
      </c>
      <c r="E57" s="152">
        <v>12.96</v>
      </c>
      <c r="F57" s="154">
        <v>10</v>
      </c>
      <c r="G57" s="155">
        <f>(B57*C57*(D57+E57+F57))</f>
        <v>1701.6</v>
      </c>
      <c r="H57" s="233"/>
    </row>
    <row r="58" spans="1:8" s="106" customFormat="1" ht="12.75" x14ac:dyDescent="0.2">
      <c r="A58" s="109" t="s">
        <v>90</v>
      </c>
      <c r="B58" s="110">
        <v>10</v>
      </c>
      <c r="C58" s="153">
        <v>30</v>
      </c>
      <c r="D58" s="152">
        <v>5.4</v>
      </c>
      <c r="E58" s="152">
        <v>12.96</v>
      </c>
      <c r="F58" s="154">
        <v>10</v>
      </c>
      <c r="G58" s="155">
        <f t="shared" ref="G58:G62" si="6">(B58*C58*(D58+E58+F58))</f>
        <v>8508</v>
      </c>
      <c r="H58" s="233"/>
    </row>
    <row r="59" spans="1:8" s="106" customFormat="1" ht="12.75" x14ac:dyDescent="0.2">
      <c r="A59" s="109" t="s">
        <v>93</v>
      </c>
      <c r="B59" s="110">
        <v>8</v>
      </c>
      <c r="C59" s="153">
        <v>30</v>
      </c>
      <c r="D59" s="152">
        <v>5.4</v>
      </c>
      <c r="E59" s="152">
        <v>12.96</v>
      </c>
      <c r="F59" s="154">
        <v>10</v>
      </c>
      <c r="G59" s="155">
        <f t="shared" si="6"/>
        <v>6806.4</v>
      </c>
      <c r="H59" s="233"/>
    </row>
    <row r="60" spans="1:8" s="106" customFormat="1" ht="12.75" x14ac:dyDescent="0.2">
      <c r="A60" s="109" t="s">
        <v>82</v>
      </c>
      <c r="B60" s="110">
        <v>2</v>
      </c>
      <c r="C60" s="153">
        <v>30</v>
      </c>
      <c r="D60" s="152">
        <v>5.4</v>
      </c>
      <c r="E60" s="152">
        <v>12.96</v>
      </c>
      <c r="F60" s="154">
        <v>10</v>
      </c>
      <c r="G60" s="155">
        <f t="shared" si="6"/>
        <v>1701.6</v>
      </c>
      <c r="H60" s="233"/>
    </row>
    <row r="61" spans="1:8" s="106" customFormat="1" ht="12.75" x14ac:dyDescent="0.2">
      <c r="A61" s="109" t="s">
        <v>104</v>
      </c>
      <c r="B61" s="110">
        <v>3</v>
      </c>
      <c r="C61" s="153">
        <v>30</v>
      </c>
      <c r="D61" s="152">
        <v>5.4</v>
      </c>
      <c r="E61" s="152">
        <v>12.96</v>
      </c>
      <c r="F61" s="154">
        <v>10</v>
      </c>
      <c r="G61" s="155">
        <f t="shared" si="6"/>
        <v>2552.4</v>
      </c>
      <c r="H61" s="233"/>
    </row>
    <row r="62" spans="1:8" s="106" customFormat="1" ht="12.75" x14ac:dyDescent="0.2">
      <c r="A62" s="109" t="s">
        <v>105</v>
      </c>
      <c r="B62" s="110">
        <v>2</v>
      </c>
      <c r="C62" s="153">
        <v>30</v>
      </c>
      <c r="D62" s="152">
        <v>5.4</v>
      </c>
      <c r="E62" s="152">
        <v>12.96</v>
      </c>
      <c r="F62" s="154">
        <v>10</v>
      </c>
      <c r="G62" s="155">
        <f t="shared" si="6"/>
        <v>1701.6</v>
      </c>
      <c r="H62" s="233"/>
    </row>
    <row r="63" spans="1:8" s="106" customFormat="1" ht="12.75" x14ac:dyDescent="0.2">
      <c r="G63" s="156">
        <f>SUM(G53:G62)</f>
        <v>27586.559999999998</v>
      </c>
    </row>
    <row r="64" spans="1:8" x14ac:dyDescent="0.2">
      <c r="A64" s="150"/>
      <c r="B64" s="151" t="s">
        <v>84</v>
      </c>
      <c r="C64" s="151" t="s">
        <v>85</v>
      </c>
      <c r="D64" s="152" t="s">
        <v>88</v>
      </c>
      <c r="E64" s="152" t="s">
        <v>91</v>
      </c>
      <c r="F64" s="152" t="s">
        <v>88</v>
      </c>
      <c r="G64" s="152" t="s">
        <v>89</v>
      </c>
    </row>
    <row r="65" spans="1:8" x14ac:dyDescent="0.2">
      <c r="A65" s="109" t="s">
        <v>100</v>
      </c>
      <c r="B65" s="110">
        <v>1</v>
      </c>
      <c r="C65" s="153">
        <v>30</v>
      </c>
      <c r="D65" s="154">
        <v>10</v>
      </c>
      <c r="E65" s="152">
        <v>12.96</v>
      </c>
      <c r="F65" s="154">
        <v>10</v>
      </c>
      <c r="G65" s="155">
        <f>(B65*C65*(D65+E65+F65))</f>
        <v>988.80000000000007</v>
      </c>
      <c r="H65" s="233" t="s">
        <v>126</v>
      </c>
    </row>
    <row r="66" spans="1:8" x14ac:dyDescent="0.2">
      <c r="A66" s="109" t="s">
        <v>103</v>
      </c>
      <c r="B66" s="110">
        <v>2</v>
      </c>
      <c r="C66" s="153">
        <v>30</v>
      </c>
      <c r="D66" s="154">
        <v>10</v>
      </c>
      <c r="E66" s="152">
        <v>12.96</v>
      </c>
      <c r="F66" s="154">
        <v>10</v>
      </c>
      <c r="G66" s="155">
        <f t="shared" ref="G66:G72" si="7">(B66*C66*(D66+E66+F66))</f>
        <v>1977.6000000000001</v>
      </c>
      <c r="H66" s="233"/>
    </row>
    <row r="67" spans="1:8" x14ac:dyDescent="0.2">
      <c r="A67" s="109" t="s">
        <v>102</v>
      </c>
      <c r="B67" s="110">
        <v>0</v>
      </c>
      <c r="C67" s="153">
        <v>30</v>
      </c>
      <c r="D67" s="154">
        <v>10</v>
      </c>
      <c r="E67" s="152">
        <v>12.96</v>
      </c>
      <c r="F67" s="154">
        <v>10</v>
      </c>
      <c r="G67" s="155">
        <f t="shared" si="7"/>
        <v>0</v>
      </c>
      <c r="H67" s="233"/>
    </row>
    <row r="68" spans="1:8" x14ac:dyDescent="0.2">
      <c r="A68" s="109" t="s">
        <v>90</v>
      </c>
      <c r="B68" s="110">
        <v>10</v>
      </c>
      <c r="C68" s="153">
        <v>30</v>
      </c>
      <c r="D68" s="154">
        <v>10</v>
      </c>
      <c r="E68" s="152">
        <v>12.96</v>
      </c>
      <c r="F68" s="154">
        <v>10</v>
      </c>
      <c r="G68" s="155">
        <f t="shared" si="7"/>
        <v>9888</v>
      </c>
      <c r="H68" s="233"/>
    </row>
    <row r="69" spans="1:8" x14ac:dyDescent="0.2">
      <c r="A69" s="109" t="s">
        <v>93</v>
      </c>
      <c r="B69" s="110">
        <v>8</v>
      </c>
      <c r="C69" s="153">
        <v>30</v>
      </c>
      <c r="D69" s="154">
        <v>10</v>
      </c>
      <c r="E69" s="152">
        <v>12.96</v>
      </c>
      <c r="F69" s="154">
        <v>10</v>
      </c>
      <c r="G69" s="155">
        <f t="shared" si="7"/>
        <v>7910.4000000000005</v>
      </c>
      <c r="H69" s="233"/>
    </row>
    <row r="70" spans="1:8" x14ac:dyDescent="0.2">
      <c r="A70" s="109" t="s">
        <v>82</v>
      </c>
      <c r="B70" s="110">
        <v>2</v>
      </c>
      <c r="C70" s="153">
        <v>30</v>
      </c>
      <c r="D70" s="154">
        <v>10</v>
      </c>
      <c r="E70" s="152">
        <v>12.96</v>
      </c>
      <c r="F70" s="154">
        <v>10</v>
      </c>
      <c r="G70" s="155">
        <f t="shared" si="7"/>
        <v>1977.6000000000001</v>
      </c>
      <c r="H70" s="233"/>
    </row>
    <row r="71" spans="1:8" x14ac:dyDescent="0.2">
      <c r="A71" s="109" t="s">
        <v>104</v>
      </c>
      <c r="B71" s="110">
        <v>3</v>
      </c>
      <c r="C71" s="153">
        <v>30</v>
      </c>
      <c r="D71" s="154">
        <v>10</v>
      </c>
      <c r="E71" s="152">
        <v>12.96</v>
      </c>
      <c r="F71" s="154">
        <v>10</v>
      </c>
      <c r="G71" s="155">
        <f t="shared" si="7"/>
        <v>2966.4</v>
      </c>
      <c r="H71" s="233"/>
    </row>
    <row r="72" spans="1:8" x14ac:dyDescent="0.2">
      <c r="A72" s="109" t="s">
        <v>105</v>
      </c>
      <c r="B72" s="110">
        <v>1</v>
      </c>
      <c r="C72" s="153">
        <v>30</v>
      </c>
      <c r="D72" s="154">
        <v>10</v>
      </c>
      <c r="E72" s="152">
        <v>12.96</v>
      </c>
      <c r="F72" s="154">
        <v>10</v>
      </c>
      <c r="G72" s="155">
        <f t="shared" si="7"/>
        <v>988.80000000000007</v>
      </c>
      <c r="H72" s="233"/>
    </row>
    <row r="73" spans="1:8" x14ac:dyDescent="0.2">
      <c r="G73" s="156">
        <f>SUM(G65:G72)</f>
        <v>26697.599999999999</v>
      </c>
    </row>
    <row r="75" spans="1:8" x14ac:dyDescent="0.2">
      <c r="G75" s="157">
        <f>G63+G73</f>
        <v>54284.159999999996</v>
      </c>
    </row>
    <row r="77" spans="1:8" customFormat="1" ht="17.25" customHeight="1" x14ac:dyDescent="0.25">
      <c r="A77" s="230" t="s">
        <v>83</v>
      </c>
      <c r="B77" s="231"/>
      <c r="C77" s="231"/>
      <c r="D77" s="231"/>
      <c r="E77" s="231"/>
      <c r="F77" s="231"/>
      <c r="G77" s="232"/>
    </row>
    <row r="78" spans="1:8" s="106" customFormat="1" ht="12.75" x14ac:dyDescent="0.2"/>
    <row r="79" spans="1:8" s="106" customFormat="1" x14ac:dyDescent="0.2">
      <c r="A79" s="150"/>
      <c r="B79" s="151" t="s">
        <v>84</v>
      </c>
      <c r="C79" s="151" t="s">
        <v>85</v>
      </c>
      <c r="D79" s="152" t="s">
        <v>86</v>
      </c>
      <c r="E79" s="152" t="s">
        <v>87</v>
      </c>
      <c r="F79" s="152" t="s">
        <v>88</v>
      </c>
      <c r="G79" s="152" t="s">
        <v>89</v>
      </c>
    </row>
    <row r="80" spans="1:8" s="106" customFormat="1" ht="12.75" x14ac:dyDescent="0.2">
      <c r="A80" s="109" t="s">
        <v>98</v>
      </c>
      <c r="B80" s="110">
        <v>1</v>
      </c>
      <c r="C80" s="153">
        <v>5</v>
      </c>
      <c r="D80" s="152">
        <v>5.4</v>
      </c>
      <c r="E80" s="152">
        <v>12.96</v>
      </c>
      <c r="F80" s="154">
        <v>10</v>
      </c>
      <c r="G80" s="155">
        <f>(B80*C80*(D80+E80+F80))+(33*(D80+E80))</f>
        <v>747.68000000000006</v>
      </c>
      <c r="H80" s="233" t="s">
        <v>125</v>
      </c>
    </row>
    <row r="81" spans="1:8" s="106" customFormat="1" ht="12.75" x14ac:dyDescent="0.2">
      <c r="A81" s="109" t="s">
        <v>99</v>
      </c>
      <c r="B81" s="110">
        <v>1</v>
      </c>
      <c r="C81" s="153">
        <v>10</v>
      </c>
      <c r="D81" s="152">
        <v>5.4</v>
      </c>
      <c r="E81" s="152">
        <v>12.96</v>
      </c>
      <c r="F81" s="154">
        <v>10</v>
      </c>
      <c r="G81" s="155">
        <f>(B81*C81*(D81+E81+F81))+(33*(D81+E81))</f>
        <v>889.48</v>
      </c>
      <c r="H81" s="233"/>
    </row>
    <row r="82" spans="1:8" s="106" customFormat="1" ht="12.75" x14ac:dyDescent="0.2">
      <c r="A82" s="109" t="s">
        <v>100</v>
      </c>
      <c r="B82" s="110">
        <v>1</v>
      </c>
      <c r="C82" s="153">
        <v>5</v>
      </c>
      <c r="D82" s="152">
        <v>5.4</v>
      </c>
      <c r="E82" s="152">
        <v>12.96</v>
      </c>
      <c r="F82" s="154">
        <v>10</v>
      </c>
      <c r="G82" s="155">
        <f>(B82*C82*(D82+E82+F82))</f>
        <v>141.80000000000001</v>
      </c>
      <c r="H82" s="233"/>
    </row>
    <row r="83" spans="1:8" s="106" customFormat="1" ht="12.75" x14ac:dyDescent="0.2">
      <c r="A83" s="109" t="s">
        <v>102</v>
      </c>
      <c r="B83" s="110">
        <v>1</v>
      </c>
      <c r="C83" s="153">
        <v>5</v>
      </c>
      <c r="D83" s="152">
        <v>5.4</v>
      </c>
      <c r="E83" s="152">
        <v>12.96</v>
      </c>
      <c r="F83" s="154">
        <v>10</v>
      </c>
      <c r="G83" s="155">
        <f>(B83*C83*(D83+E83+F83))</f>
        <v>141.80000000000001</v>
      </c>
      <c r="H83" s="233"/>
    </row>
    <row r="84" spans="1:8" s="106" customFormat="1" ht="12.75" x14ac:dyDescent="0.2">
      <c r="A84" s="109" t="s">
        <v>103</v>
      </c>
      <c r="B84" s="110">
        <v>2</v>
      </c>
      <c r="C84" s="153">
        <v>5</v>
      </c>
      <c r="D84" s="152">
        <v>5.4</v>
      </c>
      <c r="E84" s="152">
        <v>12.96</v>
      </c>
      <c r="F84" s="154">
        <v>10</v>
      </c>
      <c r="G84" s="155">
        <f>(B84*C84*(D84+E84+F84))</f>
        <v>283.60000000000002</v>
      </c>
      <c r="H84" s="233"/>
    </row>
    <row r="85" spans="1:8" s="106" customFormat="1" ht="12.75" x14ac:dyDescent="0.2">
      <c r="A85" s="109" t="s">
        <v>90</v>
      </c>
      <c r="B85" s="110">
        <v>10</v>
      </c>
      <c r="C85" s="153">
        <v>5</v>
      </c>
      <c r="D85" s="152">
        <v>5.4</v>
      </c>
      <c r="E85" s="152">
        <v>12.96</v>
      </c>
      <c r="F85" s="154">
        <v>10</v>
      </c>
      <c r="G85" s="155">
        <f t="shared" ref="G85:G89" si="8">(B85*C85*(D85+E85+F85))</f>
        <v>1418</v>
      </c>
      <c r="H85" s="233"/>
    </row>
    <row r="86" spans="1:8" s="106" customFormat="1" ht="12.75" x14ac:dyDescent="0.2">
      <c r="A86" s="109" t="s">
        <v>93</v>
      </c>
      <c r="B86" s="110">
        <v>8</v>
      </c>
      <c r="C86" s="153">
        <v>5</v>
      </c>
      <c r="D86" s="152">
        <v>5.4</v>
      </c>
      <c r="E86" s="152">
        <v>12.96</v>
      </c>
      <c r="F86" s="154">
        <v>10</v>
      </c>
      <c r="G86" s="155">
        <f t="shared" si="8"/>
        <v>1134.4000000000001</v>
      </c>
      <c r="H86" s="233"/>
    </row>
    <row r="87" spans="1:8" s="106" customFormat="1" ht="12.75" x14ac:dyDescent="0.2">
      <c r="A87" s="109" t="s">
        <v>82</v>
      </c>
      <c r="B87" s="110">
        <v>2</v>
      </c>
      <c r="C87" s="153">
        <v>5</v>
      </c>
      <c r="D87" s="152">
        <v>5.4</v>
      </c>
      <c r="E87" s="152">
        <v>12.96</v>
      </c>
      <c r="F87" s="154">
        <v>10</v>
      </c>
      <c r="G87" s="155">
        <f t="shared" si="8"/>
        <v>283.60000000000002</v>
      </c>
      <c r="H87" s="233"/>
    </row>
    <row r="88" spans="1:8" s="106" customFormat="1" ht="12.75" x14ac:dyDescent="0.2">
      <c r="A88" s="109" t="s">
        <v>104</v>
      </c>
      <c r="B88" s="110">
        <v>3</v>
      </c>
      <c r="C88" s="153">
        <v>5</v>
      </c>
      <c r="D88" s="152">
        <v>5.4</v>
      </c>
      <c r="E88" s="152">
        <v>12.96</v>
      </c>
      <c r="F88" s="154">
        <v>10</v>
      </c>
      <c r="G88" s="155">
        <f t="shared" si="8"/>
        <v>425.4</v>
      </c>
      <c r="H88" s="233"/>
    </row>
    <row r="89" spans="1:8" s="106" customFormat="1" ht="12.75" x14ac:dyDescent="0.2">
      <c r="A89" s="109" t="s">
        <v>105</v>
      </c>
      <c r="B89" s="110">
        <v>2</v>
      </c>
      <c r="C89" s="153">
        <v>5</v>
      </c>
      <c r="D89" s="152">
        <v>5.4</v>
      </c>
      <c r="E89" s="152">
        <v>12.96</v>
      </c>
      <c r="F89" s="154">
        <v>10</v>
      </c>
      <c r="G89" s="155">
        <f t="shared" si="8"/>
        <v>283.60000000000002</v>
      </c>
      <c r="H89" s="233"/>
    </row>
    <row r="90" spans="1:8" s="106" customFormat="1" ht="12.75" x14ac:dyDescent="0.2">
      <c r="G90" s="156">
        <f>SUM(G80:G89)</f>
        <v>5749.3600000000006</v>
      </c>
    </row>
    <row r="91" spans="1:8" x14ac:dyDescent="0.2">
      <c r="A91" s="150"/>
      <c r="B91" s="151" t="s">
        <v>84</v>
      </c>
      <c r="C91" s="151" t="s">
        <v>85</v>
      </c>
      <c r="D91" s="152" t="s">
        <v>88</v>
      </c>
      <c r="E91" s="152" t="s">
        <v>91</v>
      </c>
      <c r="F91" s="152" t="s">
        <v>88</v>
      </c>
      <c r="G91" s="152" t="s">
        <v>89</v>
      </c>
    </row>
    <row r="92" spans="1:8" x14ac:dyDescent="0.2">
      <c r="A92" s="109" t="s">
        <v>100</v>
      </c>
      <c r="B92" s="110">
        <v>1</v>
      </c>
      <c r="C92" s="153">
        <v>5</v>
      </c>
      <c r="D92" s="154">
        <v>10</v>
      </c>
      <c r="E92" s="152">
        <v>12.96</v>
      </c>
      <c r="F92" s="154">
        <v>10</v>
      </c>
      <c r="G92" s="155">
        <f>(B92*C92*(D92+E92+F92))</f>
        <v>164.8</v>
      </c>
      <c r="H92" s="233" t="s">
        <v>126</v>
      </c>
    </row>
    <row r="93" spans="1:8" x14ac:dyDescent="0.2">
      <c r="A93" s="109" t="s">
        <v>103</v>
      </c>
      <c r="B93" s="110">
        <v>2</v>
      </c>
      <c r="C93" s="153">
        <v>5</v>
      </c>
      <c r="D93" s="154">
        <v>10</v>
      </c>
      <c r="E93" s="152">
        <v>12.96</v>
      </c>
      <c r="F93" s="154">
        <v>10</v>
      </c>
      <c r="G93" s="155">
        <f t="shared" ref="G93:G99" si="9">(B93*C93*(D93+E93+F93))</f>
        <v>329.6</v>
      </c>
      <c r="H93" s="233"/>
    </row>
    <row r="94" spans="1:8" x14ac:dyDescent="0.2">
      <c r="A94" s="109" t="s">
        <v>102</v>
      </c>
      <c r="B94" s="110">
        <v>0</v>
      </c>
      <c r="C94" s="153">
        <v>5</v>
      </c>
      <c r="D94" s="154">
        <v>10</v>
      </c>
      <c r="E94" s="152">
        <v>12.96</v>
      </c>
      <c r="F94" s="154">
        <v>10</v>
      </c>
      <c r="G94" s="155">
        <f t="shared" si="9"/>
        <v>0</v>
      </c>
      <c r="H94" s="233"/>
    </row>
    <row r="95" spans="1:8" x14ac:dyDescent="0.2">
      <c r="A95" s="109" t="s">
        <v>90</v>
      </c>
      <c r="B95" s="110">
        <v>10</v>
      </c>
      <c r="C95" s="153">
        <v>5</v>
      </c>
      <c r="D95" s="154">
        <v>10</v>
      </c>
      <c r="E95" s="152">
        <v>12.96</v>
      </c>
      <c r="F95" s="154">
        <v>10</v>
      </c>
      <c r="G95" s="155">
        <f t="shared" si="9"/>
        <v>1648</v>
      </c>
      <c r="H95" s="233"/>
    </row>
    <row r="96" spans="1:8" x14ac:dyDescent="0.2">
      <c r="A96" s="109" t="s">
        <v>93</v>
      </c>
      <c r="B96" s="110">
        <v>8</v>
      </c>
      <c r="C96" s="153">
        <v>5</v>
      </c>
      <c r="D96" s="154">
        <v>10</v>
      </c>
      <c r="E96" s="152">
        <v>12.96</v>
      </c>
      <c r="F96" s="154">
        <v>10</v>
      </c>
      <c r="G96" s="155">
        <f t="shared" si="9"/>
        <v>1318.4</v>
      </c>
      <c r="H96" s="233"/>
    </row>
    <row r="97" spans="1:8" x14ac:dyDescent="0.2">
      <c r="A97" s="109" t="s">
        <v>82</v>
      </c>
      <c r="B97" s="110">
        <v>2</v>
      </c>
      <c r="C97" s="153">
        <v>5</v>
      </c>
      <c r="D97" s="154">
        <v>10</v>
      </c>
      <c r="E97" s="152">
        <v>12.96</v>
      </c>
      <c r="F97" s="154">
        <v>10</v>
      </c>
      <c r="G97" s="155">
        <f t="shared" si="9"/>
        <v>329.6</v>
      </c>
      <c r="H97" s="233"/>
    </row>
    <row r="98" spans="1:8" x14ac:dyDescent="0.2">
      <c r="A98" s="109" t="s">
        <v>104</v>
      </c>
      <c r="B98" s="110">
        <v>3</v>
      </c>
      <c r="C98" s="153">
        <v>5</v>
      </c>
      <c r="D98" s="154">
        <v>10</v>
      </c>
      <c r="E98" s="152">
        <v>12.96</v>
      </c>
      <c r="F98" s="154">
        <v>10</v>
      </c>
      <c r="G98" s="155">
        <f t="shared" si="9"/>
        <v>494.40000000000003</v>
      </c>
      <c r="H98" s="233"/>
    </row>
    <row r="99" spans="1:8" x14ac:dyDescent="0.2">
      <c r="A99" s="109" t="s">
        <v>105</v>
      </c>
      <c r="B99" s="110">
        <v>1</v>
      </c>
      <c r="C99" s="153">
        <v>5</v>
      </c>
      <c r="D99" s="154">
        <v>10</v>
      </c>
      <c r="E99" s="152">
        <v>12.96</v>
      </c>
      <c r="F99" s="154">
        <v>10</v>
      </c>
      <c r="G99" s="155">
        <f t="shared" si="9"/>
        <v>164.8</v>
      </c>
      <c r="H99" s="233"/>
    </row>
    <row r="100" spans="1:8" x14ac:dyDescent="0.2">
      <c r="G100" s="156">
        <f>SUM(G92:G99)</f>
        <v>4449.6000000000004</v>
      </c>
    </row>
    <row r="102" spans="1:8" x14ac:dyDescent="0.2">
      <c r="G102" s="157">
        <f>G90+G100</f>
        <v>10198.960000000001</v>
      </c>
    </row>
  </sheetData>
  <mergeCells count="10">
    <mergeCell ref="A77:G77"/>
    <mergeCell ref="H80:H89"/>
    <mergeCell ref="H92:H99"/>
    <mergeCell ref="H65:H72"/>
    <mergeCell ref="A5:I5"/>
    <mergeCell ref="D25:H25"/>
    <mergeCell ref="D48:E48"/>
    <mergeCell ref="H48:I48"/>
    <mergeCell ref="A50:G50"/>
    <mergeCell ref="H53:H62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H9" sqref="H9"/>
    </sheetView>
  </sheetViews>
  <sheetFormatPr defaultColWidth="7.85546875" defaultRowHeight="15" x14ac:dyDescent="0.2"/>
  <cols>
    <col min="1" max="1" width="26.42578125" style="100" customWidth="1"/>
    <col min="2" max="2" width="12.28515625" style="100" customWidth="1"/>
    <col min="3" max="3" width="14.85546875" style="100" customWidth="1"/>
    <col min="4" max="4" width="14.42578125" style="100" customWidth="1"/>
    <col min="5" max="6" width="15.140625" style="100" customWidth="1"/>
    <col min="7" max="7" width="16.42578125" style="100" bestFit="1" customWidth="1"/>
    <col min="8" max="8" width="13.7109375" style="100" customWidth="1"/>
    <col min="9" max="9" width="16.28515625" style="100" customWidth="1"/>
    <col min="10" max="10" width="17.140625" style="100" bestFit="1" customWidth="1"/>
    <col min="11" max="252" width="7.85546875" style="100"/>
    <col min="253" max="253" width="26.42578125" style="100" customWidth="1"/>
    <col min="254" max="254" width="12.28515625" style="100" customWidth="1"/>
    <col min="255" max="255" width="14.85546875" style="100" customWidth="1"/>
    <col min="256" max="256" width="14.42578125" style="100" customWidth="1"/>
    <col min="257" max="259" width="15.140625" style="100" customWidth="1"/>
    <col min="260" max="260" width="13.7109375" style="100" customWidth="1"/>
    <col min="261" max="261" width="16.28515625" style="100" customWidth="1"/>
    <col min="262" max="265" width="7.85546875" style="100"/>
    <col min="266" max="266" width="14.7109375" style="100" bestFit="1" customWidth="1"/>
    <col min="267" max="508" width="7.85546875" style="100"/>
    <col min="509" max="509" width="26.42578125" style="100" customWidth="1"/>
    <col min="510" max="510" width="12.28515625" style="100" customWidth="1"/>
    <col min="511" max="511" width="14.85546875" style="100" customWidth="1"/>
    <col min="512" max="512" width="14.42578125" style="100" customWidth="1"/>
    <col min="513" max="515" width="15.140625" style="100" customWidth="1"/>
    <col min="516" max="516" width="13.7109375" style="100" customWidth="1"/>
    <col min="517" max="517" width="16.28515625" style="100" customWidth="1"/>
    <col min="518" max="521" width="7.85546875" style="100"/>
    <col min="522" max="522" width="14.7109375" style="100" bestFit="1" customWidth="1"/>
    <col min="523" max="764" width="7.85546875" style="100"/>
    <col min="765" max="765" width="26.42578125" style="100" customWidth="1"/>
    <col min="766" max="766" width="12.28515625" style="100" customWidth="1"/>
    <col min="767" max="767" width="14.85546875" style="100" customWidth="1"/>
    <col min="768" max="768" width="14.42578125" style="100" customWidth="1"/>
    <col min="769" max="771" width="15.140625" style="100" customWidth="1"/>
    <col min="772" max="772" width="13.7109375" style="100" customWidth="1"/>
    <col min="773" max="773" width="16.28515625" style="100" customWidth="1"/>
    <col min="774" max="777" width="7.85546875" style="100"/>
    <col min="778" max="778" width="14.7109375" style="100" bestFit="1" customWidth="1"/>
    <col min="779" max="1020" width="7.85546875" style="100"/>
    <col min="1021" max="1021" width="26.42578125" style="100" customWidth="1"/>
    <col min="1022" max="1022" width="12.28515625" style="100" customWidth="1"/>
    <col min="1023" max="1023" width="14.85546875" style="100" customWidth="1"/>
    <col min="1024" max="1024" width="14.42578125" style="100" customWidth="1"/>
    <col min="1025" max="1027" width="15.140625" style="100" customWidth="1"/>
    <col min="1028" max="1028" width="13.7109375" style="100" customWidth="1"/>
    <col min="1029" max="1029" width="16.28515625" style="100" customWidth="1"/>
    <col min="1030" max="1033" width="7.85546875" style="100"/>
    <col min="1034" max="1034" width="14.7109375" style="100" bestFit="1" customWidth="1"/>
    <col min="1035" max="1276" width="7.85546875" style="100"/>
    <col min="1277" max="1277" width="26.42578125" style="100" customWidth="1"/>
    <col min="1278" max="1278" width="12.28515625" style="100" customWidth="1"/>
    <col min="1279" max="1279" width="14.85546875" style="100" customWidth="1"/>
    <col min="1280" max="1280" width="14.42578125" style="100" customWidth="1"/>
    <col min="1281" max="1283" width="15.140625" style="100" customWidth="1"/>
    <col min="1284" max="1284" width="13.7109375" style="100" customWidth="1"/>
    <col min="1285" max="1285" width="16.28515625" style="100" customWidth="1"/>
    <col min="1286" max="1289" width="7.85546875" style="100"/>
    <col min="1290" max="1290" width="14.7109375" style="100" bestFit="1" customWidth="1"/>
    <col min="1291" max="1532" width="7.85546875" style="100"/>
    <col min="1533" max="1533" width="26.42578125" style="100" customWidth="1"/>
    <col min="1534" max="1534" width="12.28515625" style="100" customWidth="1"/>
    <col min="1535" max="1535" width="14.85546875" style="100" customWidth="1"/>
    <col min="1536" max="1536" width="14.42578125" style="100" customWidth="1"/>
    <col min="1537" max="1539" width="15.140625" style="100" customWidth="1"/>
    <col min="1540" max="1540" width="13.7109375" style="100" customWidth="1"/>
    <col min="1541" max="1541" width="16.28515625" style="100" customWidth="1"/>
    <col min="1542" max="1545" width="7.85546875" style="100"/>
    <col min="1546" max="1546" width="14.7109375" style="100" bestFit="1" customWidth="1"/>
    <col min="1547" max="1788" width="7.85546875" style="100"/>
    <col min="1789" max="1789" width="26.42578125" style="100" customWidth="1"/>
    <col min="1790" max="1790" width="12.28515625" style="100" customWidth="1"/>
    <col min="1791" max="1791" width="14.85546875" style="100" customWidth="1"/>
    <col min="1792" max="1792" width="14.42578125" style="100" customWidth="1"/>
    <col min="1793" max="1795" width="15.140625" style="100" customWidth="1"/>
    <col min="1796" max="1796" width="13.7109375" style="100" customWidth="1"/>
    <col min="1797" max="1797" width="16.28515625" style="100" customWidth="1"/>
    <col min="1798" max="1801" width="7.85546875" style="100"/>
    <col min="1802" max="1802" width="14.7109375" style="100" bestFit="1" customWidth="1"/>
    <col min="1803" max="2044" width="7.85546875" style="100"/>
    <col min="2045" max="2045" width="26.42578125" style="100" customWidth="1"/>
    <col min="2046" max="2046" width="12.28515625" style="100" customWidth="1"/>
    <col min="2047" max="2047" width="14.85546875" style="100" customWidth="1"/>
    <col min="2048" max="2048" width="14.42578125" style="100" customWidth="1"/>
    <col min="2049" max="2051" width="15.140625" style="100" customWidth="1"/>
    <col min="2052" max="2052" width="13.7109375" style="100" customWidth="1"/>
    <col min="2053" max="2053" width="16.28515625" style="100" customWidth="1"/>
    <col min="2054" max="2057" width="7.85546875" style="100"/>
    <col min="2058" max="2058" width="14.7109375" style="100" bestFit="1" customWidth="1"/>
    <col min="2059" max="2300" width="7.85546875" style="100"/>
    <col min="2301" max="2301" width="26.42578125" style="100" customWidth="1"/>
    <col min="2302" max="2302" width="12.28515625" style="100" customWidth="1"/>
    <col min="2303" max="2303" width="14.85546875" style="100" customWidth="1"/>
    <col min="2304" max="2304" width="14.42578125" style="100" customWidth="1"/>
    <col min="2305" max="2307" width="15.140625" style="100" customWidth="1"/>
    <col min="2308" max="2308" width="13.7109375" style="100" customWidth="1"/>
    <col min="2309" max="2309" width="16.28515625" style="100" customWidth="1"/>
    <col min="2310" max="2313" width="7.85546875" style="100"/>
    <col min="2314" max="2314" width="14.7109375" style="100" bestFit="1" customWidth="1"/>
    <col min="2315" max="2556" width="7.85546875" style="100"/>
    <col min="2557" max="2557" width="26.42578125" style="100" customWidth="1"/>
    <col min="2558" max="2558" width="12.28515625" style="100" customWidth="1"/>
    <col min="2559" max="2559" width="14.85546875" style="100" customWidth="1"/>
    <col min="2560" max="2560" width="14.42578125" style="100" customWidth="1"/>
    <col min="2561" max="2563" width="15.140625" style="100" customWidth="1"/>
    <col min="2564" max="2564" width="13.7109375" style="100" customWidth="1"/>
    <col min="2565" max="2565" width="16.28515625" style="100" customWidth="1"/>
    <col min="2566" max="2569" width="7.85546875" style="100"/>
    <col min="2570" max="2570" width="14.7109375" style="100" bestFit="1" customWidth="1"/>
    <col min="2571" max="2812" width="7.85546875" style="100"/>
    <col min="2813" max="2813" width="26.42578125" style="100" customWidth="1"/>
    <col min="2814" max="2814" width="12.28515625" style="100" customWidth="1"/>
    <col min="2815" max="2815" width="14.85546875" style="100" customWidth="1"/>
    <col min="2816" max="2816" width="14.42578125" style="100" customWidth="1"/>
    <col min="2817" max="2819" width="15.140625" style="100" customWidth="1"/>
    <col min="2820" max="2820" width="13.7109375" style="100" customWidth="1"/>
    <col min="2821" max="2821" width="16.28515625" style="100" customWidth="1"/>
    <col min="2822" max="2825" width="7.85546875" style="100"/>
    <col min="2826" max="2826" width="14.7109375" style="100" bestFit="1" customWidth="1"/>
    <col min="2827" max="3068" width="7.85546875" style="100"/>
    <col min="3069" max="3069" width="26.42578125" style="100" customWidth="1"/>
    <col min="3070" max="3070" width="12.28515625" style="100" customWidth="1"/>
    <col min="3071" max="3071" width="14.85546875" style="100" customWidth="1"/>
    <col min="3072" max="3072" width="14.42578125" style="100" customWidth="1"/>
    <col min="3073" max="3075" width="15.140625" style="100" customWidth="1"/>
    <col min="3076" max="3076" width="13.7109375" style="100" customWidth="1"/>
    <col min="3077" max="3077" width="16.28515625" style="100" customWidth="1"/>
    <col min="3078" max="3081" width="7.85546875" style="100"/>
    <col min="3082" max="3082" width="14.7109375" style="100" bestFit="1" customWidth="1"/>
    <col min="3083" max="3324" width="7.85546875" style="100"/>
    <col min="3325" max="3325" width="26.42578125" style="100" customWidth="1"/>
    <col min="3326" max="3326" width="12.28515625" style="100" customWidth="1"/>
    <col min="3327" max="3327" width="14.85546875" style="100" customWidth="1"/>
    <col min="3328" max="3328" width="14.42578125" style="100" customWidth="1"/>
    <col min="3329" max="3331" width="15.140625" style="100" customWidth="1"/>
    <col min="3332" max="3332" width="13.7109375" style="100" customWidth="1"/>
    <col min="3333" max="3333" width="16.28515625" style="100" customWidth="1"/>
    <col min="3334" max="3337" width="7.85546875" style="100"/>
    <col min="3338" max="3338" width="14.7109375" style="100" bestFit="1" customWidth="1"/>
    <col min="3339" max="3580" width="7.85546875" style="100"/>
    <col min="3581" max="3581" width="26.42578125" style="100" customWidth="1"/>
    <col min="3582" max="3582" width="12.28515625" style="100" customWidth="1"/>
    <col min="3583" max="3583" width="14.85546875" style="100" customWidth="1"/>
    <col min="3584" max="3584" width="14.42578125" style="100" customWidth="1"/>
    <col min="3585" max="3587" width="15.140625" style="100" customWidth="1"/>
    <col min="3588" max="3588" width="13.7109375" style="100" customWidth="1"/>
    <col min="3589" max="3589" width="16.28515625" style="100" customWidth="1"/>
    <col min="3590" max="3593" width="7.85546875" style="100"/>
    <col min="3594" max="3594" width="14.7109375" style="100" bestFit="1" customWidth="1"/>
    <col min="3595" max="3836" width="7.85546875" style="100"/>
    <col min="3837" max="3837" width="26.42578125" style="100" customWidth="1"/>
    <col min="3838" max="3838" width="12.28515625" style="100" customWidth="1"/>
    <col min="3839" max="3839" width="14.85546875" style="100" customWidth="1"/>
    <col min="3840" max="3840" width="14.42578125" style="100" customWidth="1"/>
    <col min="3841" max="3843" width="15.140625" style="100" customWidth="1"/>
    <col min="3844" max="3844" width="13.7109375" style="100" customWidth="1"/>
    <col min="3845" max="3845" width="16.28515625" style="100" customWidth="1"/>
    <col min="3846" max="3849" width="7.85546875" style="100"/>
    <col min="3850" max="3850" width="14.7109375" style="100" bestFit="1" customWidth="1"/>
    <col min="3851" max="4092" width="7.85546875" style="100"/>
    <col min="4093" max="4093" width="26.42578125" style="100" customWidth="1"/>
    <col min="4094" max="4094" width="12.28515625" style="100" customWidth="1"/>
    <col min="4095" max="4095" width="14.85546875" style="100" customWidth="1"/>
    <col min="4096" max="4096" width="14.42578125" style="100" customWidth="1"/>
    <col min="4097" max="4099" width="15.140625" style="100" customWidth="1"/>
    <col min="4100" max="4100" width="13.7109375" style="100" customWidth="1"/>
    <col min="4101" max="4101" width="16.28515625" style="100" customWidth="1"/>
    <col min="4102" max="4105" width="7.85546875" style="100"/>
    <col min="4106" max="4106" width="14.7109375" style="100" bestFit="1" customWidth="1"/>
    <col min="4107" max="4348" width="7.85546875" style="100"/>
    <col min="4349" max="4349" width="26.42578125" style="100" customWidth="1"/>
    <col min="4350" max="4350" width="12.28515625" style="100" customWidth="1"/>
    <col min="4351" max="4351" width="14.85546875" style="100" customWidth="1"/>
    <col min="4352" max="4352" width="14.42578125" style="100" customWidth="1"/>
    <col min="4353" max="4355" width="15.140625" style="100" customWidth="1"/>
    <col min="4356" max="4356" width="13.7109375" style="100" customWidth="1"/>
    <col min="4357" max="4357" width="16.28515625" style="100" customWidth="1"/>
    <col min="4358" max="4361" width="7.85546875" style="100"/>
    <col min="4362" max="4362" width="14.7109375" style="100" bestFit="1" customWidth="1"/>
    <col min="4363" max="4604" width="7.85546875" style="100"/>
    <col min="4605" max="4605" width="26.42578125" style="100" customWidth="1"/>
    <col min="4606" max="4606" width="12.28515625" style="100" customWidth="1"/>
    <col min="4607" max="4607" width="14.85546875" style="100" customWidth="1"/>
    <col min="4608" max="4608" width="14.42578125" style="100" customWidth="1"/>
    <col min="4609" max="4611" width="15.140625" style="100" customWidth="1"/>
    <col min="4612" max="4612" width="13.7109375" style="100" customWidth="1"/>
    <col min="4613" max="4613" width="16.28515625" style="100" customWidth="1"/>
    <col min="4614" max="4617" width="7.85546875" style="100"/>
    <col min="4618" max="4618" width="14.7109375" style="100" bestFit="1" customWidth="1"/>
    <col min="4619" max="4860" width="7.85546875" style="100"/>
    <col min="4861" max="4861" width="26.42578125" style="100" customWidth="1"/>
    <col min="4862" max="4862" width="12.28515625" style="100" customWidth="1"/>
    <col min="4863" max="4863" width="14.85546875" style="100" customWidth="1"/>
    <col min="4864" max="4864" width="14.42578125" style="100" customWidth="1"/>
    <col min="4865" max="4867" width="15.140625" style="100" customWidth="1"/>
    <col min="4868" max="4868" width="13.7109375" style="100" customWidth="1"/>
    <col min="4869" max="4869" width="16.28515625" style="100" customWidth="1"/>
    <col min="4870" max="4873" width="7.85546875" style="100"/>
    <col min="4874" max="4874" width="14.7109375" style="100" bestFit="1" customWidth="1"/>
    <col min="4875" max="5116" width="7.85546875" style="100"/>
    <col min="5117" max="5117" width="26.42578125" style="100" customWidth="1"/>
    <col min="5118" max="5118" width="12.28515625" style="100" customWidth="1"/>
    <col min="5119" max="5119" width="14.85546875" style="100" customWidth="1"/>
    <col min="5120" max="5120" width="14.42578125" style="100" customWidth="1"/>
    <col min="5121" max="5123" width="15.140625" style="100" customWidth="1"/>
    <col min="5124" max="5124" width="13.7109375" style="100" customWidth="1"/>
    <col min="5125" max="5125" width="16.28515625" style="100" customWidth="1"/>
    <col min="5126" max="5129" width="7.85546875" style="100"/>
    <col min="5130" max="5130" width="14.7109375" style="100" bestFit="1" customWidth="1"/>
    <col min="5131" max="5372" width="7.85546875" style="100"/>
    <col min="5373" max="5373" width="26.42578125" style="100" customWidth="1"/>
    <col min="5374" max="5374" width="12.28515625" style="100" customWidth="1"/>
    <col min="5375" max="5375" width="14.85546875" style="100" customWidth="1"/>
    <col min="5376" max="5376" width="14.42578125" style="100" customWidth="1"/>
    <col min="5377" max="5379" width="15.140625" style="100" customWidth="1"/>
    <col min="5380" max="5380" width="13.7109375" style="100" customWidth="1"/>
    <col min="5381" max="5381" width="16.28515625" style="100" customWidth="1"/>
    <col min="5382" max="5385" width="7.85546875" style="100"/>
    <col min="5386" max="5386" width="14.7109375" style="100" bestFit="1" customWidth="1"/>
    <col min="5387" max="5628" width="7.85546875" style="100"/>
    <col min="5629" max="5629" width="26.42578125" style="100" customWidth="1"/>
    <col min="5630" max="5630" width="12.28515625" style="100" customWidth="1"/>
    <col min="5631" max="5631" width="14.85546875" style="100" customWidth="1"/>
    <col min="5632" max="5632" width="14.42578125" style="100" customWidth="1"/>
    <col min="5633" max="5635" width="15.140625" style="100" customWidth="1"/>
    <col min="5636" max="5636" width="13.7109375" style="100" customWidth="1"/>
    <col min="5637" max="5637" width="16.28515625" style="100" customWidth="1"/>
    <col min="5638" max="5641" width="7.85546875" style="100"/>
    <col min="5642" max="5642" width="14.7109375" style="100" bestFit="1" customWidth="1"/>
    <col min="5643" max="5884" width="7.85546875" style="100"/>
    <col min="5885" max="5885" width="26.42578125" style="100" customWidth="1"/>
    <col min="5886" max="5886" width="12.28515625" style="100" customWidth="1"/>
    <col min="5887" max="5887" width="14.85546875" style="100" customWidth="1"/>
    <col min="5888" max="5888" width="14.42578125" style="100" customWidth="1"/>
    <col min="5889" max="5891" width="15.140625" style="100" customWidth="1"/>
    <col min="5892" max="5892" width="13.7109375" style="100" customWidth="1"/>
    <col min="5893" max="5893" width="16.28515625" style="100" customWidth="1"/>
    <col min="5894" max="5897" width="7.85546875" style="100"/>
    <col min="5898" max="5898" width="14.7109375" style="100" bestFit="1" customWidth="1"/>
    <col min="5899" max="6140" width="7.85546875" style="100"/>
    <col min="6141" max="6141" width="26.42578125" style="100" customWidth="1"/>
    <col min="6142" max="6142" width="12.28515625" style="100" customWidth="1"/>
    <col min="6143" max="6143" width="14.85546875" style="100" customWidth="1"/>
    <col min="6144" max="6144" width="14.42578125" style="100" customWidth="1"/>
    <col min="6145" max="6147" width="15.140625" style="100" customWidth="1"/>
    <col min="6148" max="6148" width="13.7109375" style="100" customWidth="1"/>
    <col min="6149" max="6149" width="16.28515625" style="100" customWidth="1"/>
    <col min="6150" max="6153" width="7.85546875" style="100"/>
    <col min="6154" max="6154" width="14.7109375" style="100" bestFit="1" customWidth="1"/>
    <col min="6155" max="6396" width="7.85546875" style="100"/>
    <col min="6397" max="6397" width="26.42578125" style="100" customWidth="1"/>
    <col min="6398" max="6398" width="12.28515625" style="100" customWidth="1"/>
    <col min="6399" max="6399" width="14.85546875" style="100" customWidth="1"/>
    <col min="6400" max="6400" width="14.42578125" style="100" customWidth="1"/>
    <col min="6401" max="6403" width="15.140625" style="100" customWidth="1"/>
    <col min="6404" max="6404" width="13.7109375" style="100" customWidth="1"/>
    <col min="6405" max="6405" width="16.28515625" style="100" customWidth="1"/>
    <col min="6406" max="6409" width="7.85546875" style="100"/>
    <col min="6410" max="6410" width="14.7109375" style="100" bestFit="1" customWidth="1"/>
    <col min="6411" max="6652" width="7.85546875" style="100"/>
    <col min="6653" max="6653" width="26.42578125" style="100" customWidth="1"/>
    <col min="6654" max="6654" width="12.28515625" style="100" customWidth="1"/>
    <col min="6655" max="6655" width="14.85546875" style="100" customWidth="1"/>
    <col min="6656" max="6656" width="14.42578125" style="100" customWidth="1"/>
    <col min="6657" max="6659" width="15.140625" style="100" customWidth="1"/>
    <col min="6660" max="6660" width="13.7109375" style="100" customWidth="1"/>
    <col min="6661" max="6661" width="16.28515625" style="100" customWidth="1"/>
    <col min="6662" max="6665" width="7.85546875" style="100"/>
    <col min="6666" max="6666" width="14.7109375" style="100" bestFit="1" customWidth="1"/>
    <col min="6667" max="6908" width="7.85546875" style="100"/>
    <col min="6909" max="6909" width="26.42578125" style="100" customWidth="1"/>
    <col min="6910" max="6910" width="12.28515625" style="100" customWidth="1"/>
    <col min="6911" max="6911" width="14.85546875" style="100" customWidth="1"/>
    <col min="6912" max="6912" width="14.42578125" style="100" customWidth="1"/>
    <col min="6913" max="6915" width="15.140625" style="100" customWidth="1"/>
    <col min="6916" max="6916" width="13.7109375" style="100" customWidth="1"/>
    <col min="6917" max="6917" width="16.28515625" style="100" customWidth="1"/>
    <col min="6918" max="6921" width="7.85546875" style="100"/>
    <col min="6922" max="6922" width="14.7109375" style="100" bestFit="1" customWidth="1"/>
    <col min="6923" max="7164" width="7.85546875" style="100"/>
    <col min="7165" max="7165" width="26.42578125" style="100" customWidth="1"/>
    <col min="7166" max="7166" width="12.28515625" style="100" customWidth="1"/>
    <col min="7167" max="7167" width="14.85546875" style="100" customWidth="1"/>
    <col min="7168" max="7168" width="14.42578125" style="100" customWidth="1"/>
    <col min="7169" max="7171" width="15.140625" style="100" customWidth="1"/>
    <col min="7172" max="7172" width="13.7109375" style="100" customWidth="1"/>
    <col min="7173" max="7173" width="16.28515625" style="100" customWidth="1"/>
    <col min="7174" max="7177" width="7.85546875" style="100"/>
    <col min="7178" max="7178" width="14.7109375" style="100" bestFit="1" customWidth="1"/>
    <col min="7179" max="7420" width="7.85546875" style="100"/>
    <col min="7421" max="7421" width="26.42578125" style="100" customWidth="1"/>
    <col min="7422" max="7422" width="12.28515625" style="100" customWidth="1"/>
    <col min="7423" max="7423" width="14.85546875" style="100" customWidth="1"/>
    <col min="7424" max="7424" width="14.42578125" style="100" customWidth="1"/>
    <col min="7425" max="7427" width="15.140625" style="100" customWidth="1"/>
    <col min="7428" max="7428" width="13.7109375" style="100" customWidth="1"/>
    <col min="7429" max="7429" width="16.28515625" style="100" customWidth="1"/>
    <col min="7430" max="7433" width="7.85546875" style="100"/>
    <col min="7434" max="7434" width="14.7109375" style="100" bestFit="1" customWidth="1"/>
    <col min="7435" max="7676" width="7.85546875" style="100"/>
    <col min="7677" max="7677" width="26.42578125" style="100" customWidth="1"/>
    <col min="7678" max="7678" width="12.28515625" style="100" customWidth="1"/>
    <col min="7679" max="7679" width="14.85546875" style="100" customWidth="1"/>
    <col min="7680" max="7680" width="14.42578125" style="100" customWidth="1"/>
    <col min="7681" max="7683" width="15.140625" style="100" customWidth="1"/>
    <col min="7684" max="7684" width="13.7109375" style="100" customWidth="1"/>
    <col min="7685" max="7685" width="16.28515625" style="100" customWidth="1"/>
    <col min="7686" max="7689" width="7.85546875" style="100"/>
    <col min="7690" max="7690" width="14.7109375" style="100" bestFit="1" customWidth="1"/>
    <col min="7691" max="7932" width="7.85546875" style="100"/>
    <col min="7933" max="7933" width="26.42578125" style="100" customWidth="1"/>
    <col min="7934" max="7934" width="12.28515625" style="100" customWidth="1"/>
    <col min="7935" max="7935" width="14.85546875" style="100" customWidth="1"/>
    <col min="7936" max="7936" width="14.42578125" style="100" customWidth="1"/>
    <col min="7937" max="7939" width="15.140625" style="100" customWidth="1"/>
    <col min="7940" max="7940" width="13.7109375" style="100" customWidth="1"/>
    <col min="7941" max="7941" width="16.28515625" style="100" customWidth="1"/>
    <col min="7942" max="7945" width="7.85546875" style="100"/>
    <col min="7946" max="7946" width="14.7109375" style="100" bestFit="1" customWidth="1"/>
    <col min="7947" max="8188" width="7.85546875" style="100"/>
    <col min="8189" max="8189" width="26.42578125" style="100" customWidth="1"/>
    <col min="8190" max="8190" width="12.28515625" style="100" customWidth="1"/>
    <col min="8191" max="8191" width="14.85546875" style="100" customWidth="1"/>
    <col min="8192" max="8192" width="14.42578125" style="100" customWidth="1"/>
    <col min="8193" max="8195" width="15.140625" style="100" customWidth="1"/>
    <col min="8196" max="8196" width="13.7109375" style="100" customWidth="1"/>
    <col min="8197" max="8197" width="16.28515625" style="100" customWidth="1"/>
    <col min="8198" max="8201" width="7.85546875" style="100"/>
    <col min="8202" max="8202" width="14.7109375" style="100" bestFit="1" customWidth="1"/>
    <col min="8203" max="8444" width="7.85546875" style="100"/>
    <col min="8445" max="8445" width="26.42578125" style="100" customWidth="1"/>
    <col min="8446" max="8446" width="12.28515625" style="100" customWidth="1"/>
    <col min="8447" max="8447" width="14.85546875" style="100" customWidth="1"/>
    <col min="8448" max="8448" width="14.42578125" style="100" customWidth="1"/>
    <col min="8449" max="8451" width="15.140625" style="100" customWidth="1"/>
    <col min="8452" max="8452" width="13.7109375" style="100" customWidth="1"/>
    <col min="8453" max="8453" width="16.28515625" style="100" customWidth="1"/>
    <col min="8454" max="8457" width="7.85546875" style="100"/>
    <col min="8458" max="8458" width="14.7109375" style="100" bestFit="1" customWidth="1"/>
    <col min="8459" max="8700" width="7.85546875" style="100"/>
    <col min="8701" max="8701" width="26.42578125" style="100" customWidth="1"/>
    <col min="8702" max="8702" width="12.28515625" style="100" customWidth="1"/>
    <col min="8703" max="8703" width="14.85546875" style="100" customWidth="1"/>
    <col min="8704" max="8704" width="14.42578125" style="100" customWidth="1"/>
    <col min="8705" max="8707" width="15.140625" style="100" customWidth="1"/>
    <col min="8708" max="8708" width="13.7109375" style="100" customWidth="1"/>
    <col min="8709" max="8709" width="16.28515625" style="100" customWidth="1"/>
    <col min="8710" max="8713" width="7.85546875" style="100"/>
    <col min="8714" max="8714" width="14.7109375" style="100" bestFit="1" customWidth="1"/>
    <col min="8715" max="8956" width="7.85546875" style="100"/>
    <col min="8957" max="8957" width="26.42578125" style="100" customWidth="1"/>
    <col min="8958" max="8958" width="12.28515625" style="100" customWidth="1"/>
    <col min="8959" max="8959" width="14.85546875" style="100" customWidth="1"/>
    <col min="8960" max="8960" width="14.42578125" style="100" customWidth="1"/>
    <col min="8961" max="8963" width="15.140625" style="100" customWidth="1"/>
    <col min="8964" max="8964" width="13.7109375" style="100" customWidth="1"/>
    <col min="8965" max="8965" width="16.28515625" style="100" customWidth="1"/>
    <col min="8966" max="8969" width="7.85546875" style="100"/>
    <col min="8970" max="8970" width="14.7109375" style="100" bestFit="1" customWidth="1"/>
    <col min="8971" max="9212" width="7.85546875" style="100"/>
    <col min="9213" max="9213" width="26.42578125" style="100" customWidth="1"/>
    <col min="9214" max="9214" width="12.28515625" style="100" customWidth="1"/>
    <col min="9215" max="9215" width="14.85546875" style="100" customWidth="1"/>
    <col min="9216" max="9216" width="14.42578125" style="100" customWidth="1"/>
    <col min="9217" max="9219" width="15.140625" style="100" customWidth="1"/>
    <col min="9220" max="9220" width="13.7109375" style="100" customWidth="1"/>
    <col min="9221" max="9221" width="16.28515625" style="100" customWidth="1"/>
    <col min="9222" max="9225" width="7.85546875" style="100"/>
    <col min="9226" max="9226" width="14.7109375" style="100" bestFit="1" customWidth="1"/>
    <col min="9227" max="9468" width="7.85546875" style="100"/>
    <col min="9469" max="9469" width="26.42578125" style="100" customWidth="1"/>
    <col min="9470" max="9470" width="12.28515625" style="100" customWidth="1"/>
    <col min="9471" max="9471" width="14.85546875" style="100" customWidth="1"/>
    <col min="9472" max="9472" width="14.42578125" style="100" customWidth="1"/>
    <col min="9473" max="9475" width="15.140625" style="100" customWidth="1"/>
    <col min="9476" max="9476" width="13.7109375" style="100" customWidth="1"/>
    <col min="9477" max="9477" width="16.28515625" style="100" customWidth="1"/>
    <col min="9478" max="9481" width="7.85546875" style="100"/>
    <col min="9482" max="9482" width="14.7109375" style="100" bestFit="1" customWidth="1"/>
    <col min="9483" max="9724" width="7.85546875" style="100"/>
    <col min="9725" max="9725" width="26.42578125" style="100" customWidth="1"/>
    <col min="9726" max="9726" width="12.28515625" style="100" customWidth="1"/>
    <col min="9727" max="9727" width="14.85546875" style="100" customWidth="1"/>
    <col min="9728" max="9728" width="14.42578125" style="100" customWidth="1"/>
    <col min="9729" max="9731" width="15.140625" style="100" customWidth="1"/>
    <col min="9732" max="9732" width="13.7109375" style="100" customWidth="1"/>
    <col min="9733" max="9733" width="16.28515625" style="100" customWidth="1"/>
    <col min="9734" max="9737" width="7.85546875" style="100"/>
    <col min="9738" max="9738" width="14.7109375" style="100" bestFit="1" customWidth="1"/>
    <col min="9739" max="9980" width="7.85546875" style="100"/>
    <col min="9981" max="9981" width="26.42578125" style="100" customWidth="1"/>
    <col min="9982" max="9982" width="12.28515625" style="100" customWidth="1"/>
    <col min="9983" max="9983" width="14.85546875" style="100" customWidth="1"/>
    <col min="9984" max="9984" width="14.42578125" style="100" customWidth="1"/>
    <col min="9985" max="9987" width="15.140625" style="100" customWidth="1"/>
    <col min="9988" max="9988" width="13.7109375" style="100" customWidth="1"/>
    <col min="9989" max="9989" width="16.28515625" style="100" customWidth="1"/>
    <col min="9990" max="9993" width="7.85546875" style="100"/>
    <col min="9994" max="9994" width="14.7109375" style="100" bestFit="1" customWidth="1"/>
    <col min="9995" max="10236" width="7.85546875" style="100"/>
    <col min="10237" max="10237" width="26.42578125" style="100" customWidth="1"/>
    <col min="10238" max="10238" width="12.28515625" style="100" customWidth="1"/>
    <col min="10239" max="10239" width="14.85546875" style="100" customWidth="1"/>
    <col min="10240" max="10240" width="14.42578125" style="100" customWidth="1"/>
    <col min="10241" max="10243" width="15.140625" style="100" customWidth="1"/>
    <col min="10244" max="10244" width="13.7109375" style="100" customWidth="1"/>
    <col min="10245" max="10245" width="16.28515625" style="100" customWidth="1"/>
    <col min="10246" max="10249" width="7.85546875" style="100"/>
    <col min="10250" max="10250" width="14.7109375" style="100" bestFit="1" customWidth="1"/>
    <col min="10251" max="10492" width="7.85546875" style="100"/>
    <col min="10493" max="10493" width="26.42578125" style="100" customWidth="1"/>
    <col min="10494" max="10494" width="12.28515625" style="100" customWidth="1"/>
    <col min="10495" max="10495" width="14.85546875" style="100" customWidth="1"/>
    <col min="10496" max="10496" width="14.42578125" style="100" customWidth="1"/>
    <col min="10497" max="10499" width="15.140625" style="100" customWidth="1"/>
    <col min="10500" max="10500" width="13.7109375" style="100" customWidth="1"/>
    <col min="10501" max="10501" width="16.28515625" style="100" customWidth="1"/>
    <col min="10502" max="10505" width="7.85546875" style="100"/>
    <col min="10506" max="10506" width="14.7109375" style="100" bestFit="1" customWidth="1"/>
    <col min="10507" max="10748" width="7.85546875" style="100"/>
    <col min="10749" max="10749" width="26.42578125" style="100" customWidth="1"/>
    <col min="10750" max="10750" width="12.28515625" style="100" customWidth="1"/>
    <col min="10751" max="10751" width="14.85546875" style="100" customWidth="1"/>
    <col min="10752" max="10752" width="14.42578125" style="100" customWidth="1"/>
    <col min="10753" max="10755" width="15.140625" style="100" customWidth="1"/>
    <col min="10756" max="10756" width="13.7109375" style="100" customWidth="1"/>
    <col min="10757" max="10757" width="16.28515625" style="100" customWidth="1"/>
    <col min="10758" max="10761" width="7.85546875" style="100"/>
    <col min="10762" max="10762" width="14.7109375" style="100" bestFit="1" customWidth="1"/>
    <col min="10763" max="11004" width="7.85546875" style="100"/>
    <col min="11005" max="11005" width="26.42578125" style="100" customWidth="1"/>
    <col min="11006" max="11006" width="12.28515625" style="100" customWidth="1"/>
    <col min="11007" max="11007" width="14.85546875" style="100" customWidth="1"/>
    <col min="11008" max="11008" width="14.42578125" style="100" customWidth="1"/>
    <col min="11009" max="11011" width="15.140625" style="100" customWidth="1"/>
    <col min="11012" max="11012" width="13.7109375" style="100" customWidth="1"/>
    <col min="11013" max="11013" width="16.28515625" style="100" customWidth="1"/>
    <col min="11014" max="11017" width="7.85546875" style="100"/>
    <col min="11018" max="11018" width="14.7109375" style="100" bestFit="1" customWidth="1"/>
    <col min="11019" max="11260" width="7.85546875" style="100"/>
    <col min="11261" max="11261" width="26.42578125" style="100" customWidth="1"/>
    <col min="11262" max="11262" width="12.28515625" style="100" customWidth="1"/>
    <col min="11263" max="11263" width="14.85546875" style="100" customWidth="1"/>
    <col min="11264" max="11264" width="14.42578125" style="100" customWidth="1"/>
    <col min="11265" max="11267" width="15.140625" style="100" customWidth="1"/>
    <col min="11268" max="11268" width="13.7109375" style="100" customWidth="1"/>
    <col min="11269" max="11269" width="16.28515625" style="100" customWidth="1"/>
    <col min="11270" max="11273" width="7.85546875" style="100"/>
    <col min="11274" max="11274" width="14.7109375" style="100" bestFit="1" customWidth="1"/>
    <col min="11275" max="11516" width="7.85546875" style="100"/>
    <col min="11517" max="11517" width="26.42578125" style="100" customWidth="1"/>
    <col min="11518" max="11518" width="12.28515625" style="100" customWidth="1"/>
    <col min="11519" max="11519" width="14.85546875" style="100" customWidth="1"/>
    <col min="11520" max="11520" width="14.42578125" style="100" customWidth="1"/>
    <col min="11521" max="11523" width="15.140625" style="100" customWidth="1"/>
    <col min="11524" max="11524" width="13.7109375" style="100" customWidth="1"/>
    <col min="11525" max="11525" width="16.28515625" style="100" customWidth="1"/>
    <col min="11526" max="11529" width="7.85546875" style="100"/>
    <col min="11530" max="11530" width="14.7109375" style="100" bestFit="1" customWidth="1"/>
    <col min="11531" max="11772" width="7.85546875" style="100"/>
    <col min="11773" max="11773" width="26.42578125" style="100" customWidth="1"/>
    <col min="11774" max="11774" width="12.28515625" style="100" customWidth="1"/>
    <col min="11775" max="11775" width="14.85546875" style="100" customWidth="1"/>
    <col min="11776" max="11776" width="14.42578125" style="100" customWidth="1"/>
    <col min="11777" max="11779" width="15.140625" style="100" customWidth="1"/>
    <col min="11780" max="11780" width="13.7109375" style="100" customWidth="1"/>
    <col min="11781" max="11781" width="16.28515625" style="100" customWidth="1"/>
    <col min="11782" max="11785" width="7.85546875" style="100"/>
    <col min="11786" max="11786" width="14.7109375" style="100" bestFit="1" customWidth="1"/>
    <col min="11787" max="12028" width="7.85546875" style="100"/>
    <col min="12029" max="12029" width="26.42578125" style="100" customWidth="1"/>
    <col min="12030" max="12030" width="12.28515625" style="100" customWidth="1"/>
    <col min="12031" max="12031" width="14.85546875" style="100" customWidth="1"/>
    <col min="12032" max="12032" width="14.42578125" style="100" customWidth="1"/>
    <col min="12033" max="12035" width="15.140625" style="100" customWidth="1"/>
    <col min="12036" max="12036" width="13.7109375" style="100" customWidth="1"/>
    <col min="12037" max="12037" width="16.28515625" style="100" customWidth="1"/>
    <col min="12038" max="12041" width="7.85546875" style="100"/>
    <col min="12042" max="12042" width="14.7109375" style="100" bestFit="1" customWidth="1"/>
    <col min="12043" max="12284" width="7.85546875" style="100"/>
    <col min="12285" max="12285" width="26.42578125" style="100" customWidth="1"/>
    <col min="12286" max="12286" width="12.28515625" style="100" customWidth="1"/>
    <col min="12287" max="12287" width="14.85546875" style="100" customWidth="1"/>
    <col min="12288" max="12288" width="14.42578125" style="100" customWidth="1"/>
    <col min="12289" max="12291" width="15.140625" style="100" customWidth="1"/>
    <col min="12292" max="12292" width="13.7109375" style="100" customWidth="1"/>
    <col min="12293" max="12293" width="16.28515625" style="100" customWidth="1"/>
    <col min="12294" max="12297" width="7.85546875" style="100"/>
    <col min="12298" max="12298" width="14.7109375" style="100" bestFit="1" customWidth="1"/>
    <col min="12299" max="12540" width="7.85546875" style="100"/>
    <col min="12541" max="12541" width="26.42578125" style="100" customWidth="1"/>
    <col min="12542" max="12542" width="12.28515625" style="100" customWidth="1"/>
    <col min="12543" max="12543" width="14.85546875" style="100" customWidth="1"/>
    <col min="12544" max="12544" width="14.42578125" style="100" customWidth="1"/>
    <col min="12545" max="12547" width="15.140625" style="100" customWidth="1"/>
    <col min="12548" max="12548" width="13.7109375" style="100" customWidth="1"/>
    <col min="12549" max="12549" width="16.28515625" style="100" customWidth="1"/>
    <col min="12550" max="12553" width="7.85546875" style="100"/>
    <col min="12554" max="12554" width="14.7109375" style="100" bestFit="1" customWidth="1"/>
    <col min="12555" max="12796" width="7.85546875" style="100"/>
    <col min="12797" max="12797" width="26.42578125" style="100" customWidth="1"/>
    <col min="12798" max="12798" width="12.28515625" style="100" customWidth="1"/>
    <col min="12799" max="12799" width="14.85546875" style="100" customWidth="1"/>
    <col min="12800" max="12800" width="14.42578125" style="100" customWidth="1"/>
    <col min="12801" max="12803" width="15.140625" style="100" customWidth="1"/>
    <col min="12804" max="12804" width="13.7109375" style="100" customWidth="1"/>
    <col min="12805" max="12805" width="16.28515625" style="100" customWidth="1"/>
    <col min="12806" max="12809" width="7.85546875" style="100"/>
    <col min="12810" max="12810" width="14.7109375" style="100" bestFit="1" customWidth="1"/>
    <col min="12811" max="13052" width="7.85546875" style="100"/>
    <col min="13053" max="13053" width="26.42578125" style="100" customWidth="1"/>
    <col min="13054" max="13054" width="12.28515625" style="100" customWidth="1"/>
    <col min="13055" max="13055" width="14.85546875" style="100" customWidth="1"/>
    <col min="13056" max="13056" width="14.42578125" style="100" customWidth="1"/>
    <col min="13057" max="13059" width="15.140625" style="100" customWidth="1"/>
    <col min="13060" max="13060" width="13.7109375" style="100" customWidth="1"/>
    <col min="13061" max="13061" width="16.28515625" style="100" customWidth="1"/>
    <col min="13062" max="13065" width="7.85546875" style="100"/>
    <col min="13066" max="13066" width="14.7109375" style="100" bestFit="1" customWidth="1"/>
    <col min="13067" max="13308" width="7.85546875" style="100"/>
    <col min="13309" max="13309" width="26.42578125" style="100" customWidth="1"/>
    <col min="13310" max="13310" width="12.28515625" style="100" customWidth="1"/>
    <col min="13311" max="13311" width="14.85546875" style="100" customWidth="1"/>
    <col min="13312" max="13312" width="14.42578125" style="100" customWidth="1"/>
    <col min="13313" max="13315" width="15.140625" style="100" customWidth="1"/>
    <col min="13316" max="13316" width="13.7109375" style="100" customWidth="1"/>
    <col min="13317" max="13317" width="16.28515625" style="100" customWidth="1"/>
    <col min="13318" max="13321" width="7.85546875" style="100"/>
    <col min="13322" max="13322" width="14.7109375" style="100" bestFit="1" customWidth="1"/>
    <col min="13323" max="13564" width="7.85546875" style="100"/>
    <col min="13565" max="13565" width="26.42578125" style="100" customWidth="1"/>
    <col min="13566" max="13566" width="12.28515625" style="100" customWidth="1"/>
    <col min="13567" max="13567" width="14.85546875" style="100" customWidth="1"/>
    <col min="13568" max="13568" width="14.42578125" style="100" customWidth="1"/>
    <col min="13569" max="13571" width="15.140625" style="100" customWidth="1"/>
    <col min="13572" max="13572" width="13.7109375" style="100" customWidth="1"/>
    <col min="13573" max="13573" width="16.28515625" style="100" customWidth="1"/>
    <col min="13574" max="13577" width="7.85546875" style="100"/>
    <col min="13578" max="13578" width="14.7109375" style="100" bestFit="1" customWidth="1"/>
    <col min="13579" max="13820" width="7.85546875" style="100"/>
    <col min="13821" max="13821" width="26.42578125" style="100" customWidth="1"/>
    <col min="13822" max="13822" width="12.28515625" style="100" customWidth="1"/>
    <col min="13823" max="13823" width="14.85546875" style="100" customWidth="1"/>
    <col min="13824" max="13824" width="14.42578125" style="100" customWidth="1"/>
    <col min="13825" max="13827" width="15.140625" style="100" customWidth="1"/>
    <col min="13828" max="13828" width="13.7109375" style="100" customWidth="1"/>
    <col min="13829" max="13829" width="16.28515625" style="100" customWidth="1"/>
    <col min="13830" max="13833" width="7.85546875" style="100"/>
    <col min="13834" max="13834" width="14.7109375" style="100" bestFit="1" customWidth="1"/>
    <col min="13835" max="14076" width="7.85546875" style="100"/>
    <col min="14077" max="14077" width="26.42578125" style="100" customWidth="1"/>
    <col min="14078" max="14078" width="12.28515625" style="100" customWidth="1"/>
    <col min="14079" max="14079" width="14.85546875" style="100" customWidth="1"/>
    <col min="14080" max="14080" width="14.42578125" style="100" customWidth="1"/>
    <col min="14081" max="14083" width="15.140625" style="100" customWidth="1"/>
    <col min="14084" max="14084" width="13.7109375" style="100" customWidth="1"/>
    <col min="14085" max="14085" width="16.28515625" style="100" customWidth="1"/>
    <col min="14086" max="14089" width="7.85546875" style="100"/>
    <col min="14090" max="14090" width="14.7109375" style="100" bestFit="1" customWidth="1"/>
    <col min="14091" max="14332" width="7.85546875" style="100"/>
    <col min="14333" max="14333" width="26.42578125" style="100" customWidth="1"/>
    <col min="14334" max="14334" width="12.28515625" style="100" customWidth="1"/>
    <col min="14335" max="14335" width="14.85546875" style="100" customWidth="1"/>
    <col min="14336" max="14336" width="14.42578125" style="100" customWidth="1"/>
    <col min="14337" max="14339" width="15.140625" style="100" customWidth="1"/>
    <col min="14340" max="14340" width="13.7109375" style="100" customWidth="1"/>
    <col min="14341" max="14341" width="16.28515625" style="100" customWidth="1"/>
    <col min="14342" max="14345" width="7.85546875" style="100"/>
    <col min="14346" max="14346" width="14.7109375" style="100" bestFit="1" customWidth="1"/>
    <col min="14347" max="14588" width="7.85546875" style="100"/>
    <col min="14589" max="14589" width="26.42578125" style="100" customWidth="1"/>
    <col min="14590" max="14590" width="12.28515625" style="100" customWidth="1"/>
    <col min="14591" max="14591" width="14.85546875" style="100" customWidth="1"/>
    <col min="14592" max="14592" width="14.42578125" style="100" customWidth="1"/>
    <col min="14593" max="14595" width="15.140625" style="100" customWidth="1"/>
    <col min="14596" max="14596" width="13.7109375" style="100" customWidth="1"/>
    <col min="14597" max="14597" width="16.28515625" style="100" customWidth="1"/>
    <col min="14598" max="14601" width="7.85546875" style="100"/>
    <col min="14602" max="14602" width="14.7109375" style="100" bestFit="1" customWidth="1"/>
    <col min="14603" max="14844" width="7.85546875" style="100"/>
    <col min="14845" max="14845" width="26.42578125" style="100" customWidth="1"/>
    <col min="14846" max="14846" width="12.28515625" style="100" customWidth="1"/>
    <col min="14847" max="14847" width="14.85546875" style="100" customWidth="1"/>
    <col min="14848" max="14848" width="14.42578125" style="100" customWidth="1"/>
    <col min="14849" max="14851" width="15.140625" style="100" customWidth="1"/>
    <col min="14852" max="14852" width="13.7109375" style="100" customWidth="1"/>
    <col min="14853" max="14853" width="16.28515625" style="100" customWidth="1"/>
    <col min="14854" max="14857" width="7.85546875" style="100"/>
    <col min="14858" max="14858" width="14.7109375" style="100" bestFit="1" customWidth="1"/>
    <col min="14859" max="15100" width="7.85546875" style="100"/>
    <col min="15101" max="15101" width="26.42578125" style="100" customWidth="1"/>
    <col min="15102" max="15102" width="12.28515625" style="100" customWidth="1"/>
    <col min="15103" max="15103" width="14.85546875" style="100" customWidth="1"/>
    <col min="15104" max="15104" width="14.42578125" style="100" customWidth="1"/>
    <col min="15105" max="15107" width="15.140625" style="100" customWidth="1"/>
    <col min="15108" max="15108" width="13.7109375" style="100" customWidth="1"/>
    <col min="15109" max="15109" width="16.28515625" style="100" customWidth="1"/>
    <col min="15110" max="15113" width="7.85546875" style="100"/>
    <col min="15114" max="15114" width="14.7109375" style="100" bestFit="1" customWidth="1"/>
    <col min="15115" max="15356" width="7.85546875" style="100"/>
    <col min="15357" max="15357" width="26.42578125" style="100" customWidth="1"/>
    <col min="15358" max="15358" width="12.28515625" style="100" customWidth="1"/>
    <col min="15359" max="15359" width="14.85546875" style="100" customWidth="1"/>
    <col min="15360" max="15360" width="14.42578125" style="100" customWidth="1"/>
    <col min="15361" max="15363" width="15.140625" style="100" customWidth="1"/>
    <col min="15364" max="15364" width="13.7109375" style="100" customWidth="1"/>
    <col min="15365" max="15365" width="16.28515625" style="100" customWidth="1"/>
    <col min="15366" max="15369" width="7.85546875" style="100"/>
    <col min="15370" max="15370" width="14.7109375" style="100" bestFit="1" customWidth="1"/>
    <col min="15371" max="15612" width="7.85546875" style="100"/>
    <col min="15613" max="15613" width="26.42578125" style="100" customWidth="1"/>
    <col min="15614" max="15614" width="12.28515625" style="100" customWidth="1"/>
    <col min="15615" max="15615" width="14.85546875" style="100" customWidth="1"/>
    <col min="15616" max="15616" width="14.42578125" style="100" customWidth="1"/>
    <col min="15617" max="15619" width="15.140625" style="100" customWidth="1"/>
    <col min="15620" max="15620" width="13.7109375" style="100" customWidth="1"/>
    <col min="15621" max="15621" width="16.28515625" style="100" customWidth="1"/>
    <col min="15622" max="15625" width="7.85546875" style="100"/>
    <col min="15626" max="15626" width="14.7109375" style="100" bestFit="1" customWidth="1"/>
    <col min="15627" max="15868" width="7.85546875" style="100"/>
    <col min="15869" max="15869" width="26.42578125" style="100" customWidth="1"/>
    <col min="15870" max="15870" width="12.28515625" style="100" customWidth="1"/>
    <col min="15871" max="15871" width="14.85546875" style="100" customWidth="1"/>
    <col min="15872" max="15872" width="14.42578125" style="100" customWidth="1"/>
    <col min="15873" max="15875" width="15.140625" style="100" customWidth="1"/>
    <col min="15876" max="15876" width="13.7109375" style="100" customWidth="1"/>
    <col min="15877" max="15877" width="16.28515625" style="100" customWidth="1"/>
    <col min="15878" max="15881" width="7.85546875" style="100"/>
    <col min="15882" max="15882" width="14.7109375" style="100" bestFit="1" customWidth="1"/>
    <col min="15883" max="16124" width="7.85546875" style="100"/>
    <col min="16125" max="16125" width="26.42578125" style="100" customWidth="1"/>
    <col min="16126" max="16126" width="12.28515625" style="100" customWidth="1"/>
    <col min="16127" max="16127" width="14.85546875" style="100" customWidth="1"/>
    <col min="16128" max="16128" width="14.42578125" style="100" customWidth="1"/>
    <col min="16129" max="16131" width="15.140625" style="100" customWidth="1"/>
    <col min="16132" max="16132" width="13.7109375" style="100" customWidth="1"/>
    <col min="16133" max="16133" width="16.28515625" style="100" customWidth="1"/>
    <col min="16134" max="16137" width="7.85546875" style="100"/>
    <col min="16138" max="16138" width="14.7109375" style="100" bestFit="1" customWidth="1"/>
    <col min="16139" max="16384" width="7.85546875" style="100"/>
  </cols>
  <sheetData>
    <row r="1" spans="1:9" x14ac:dyDescent="0.2">
      <c r="F1" s="100" t="s">
        <v>94</v>
      </c>
    </row>
    <row r="5" spans="1:9" ht="15.75" customHeight="1" x14ac:dyDescent="0.25">
      <c r="A5" s="234" t="s">
        <v>95</v>
      </c>
      <c r="B5" s="234"/>
      <c r="C5" s="234"/>
      <c r="D5" s="234"/>
      <c r="E5" s="234"/>
      <c r="F5" s="234"/>
      <c r="G5" s="234"/>
      <c r="H5" s="234"/>
      <c r="I5" s="234"/>
    </row>
    <row r="6" spans="1:9" s="104" customFormat="1" ht="21.75" customHeight="1" x14ac:dyDescent="0.35">
      <c r="A6" s="101" t="s">
        <v>0</v>
      </c>
      <c r="B6" s="102"/>
      <c r="C6" s="103"/>
      <c r="D6" s="103"/>
      <c r="E6" s="103"/>
      <c r="F6" s="103"/>
      <c r="G6" s="103"/>
      <c r="H6" s="103"/>
      <c r="I6" s="103"/>
    </row>
    <row r="7" spans="1:9" s="106" customFormat="1" ht="15.75" x14ac:dyDescent="0.25">
      <c r="A7" s="105" t="s">
        <v>69</v>
      </c>
    </row>
    <row r="8" spans="1:9" s="108" customFormat="1" ht="25.5" customHeight="1" x14ac:dyDescent="0.2">
      <c r="A8" s="107" t="s">
        <v>3</v>
      </c>
      <c r="B8" s="107" t="s">
        <v>70</v>
      </c>
      <c r="C8" s="107" t="s">
        <v>71</v>
      </c>
      <c r="D8" s="107" t="s">
        <v>72</v>
      </c>
      <c r="E8" s="107" t="s">
        <v>73</v>
      </c>
      <c r="F8" s="107" t="s">
        <v>74</v>
      </c>
      <c r="G8" s="107" t="s">
        <v>75</v>
      </c>
      <c r="H8" s="107" t="s">
        <v>76</v>
      </c>
      <c r="I8" s="107" t="s">
        <v>77</v>
      </c>
    </row>
    <row r="9" spans="1:9" customFormat="1" ht="12.95" customHeight="1" x14ac:dyDescent="0.25">
      <c r="A9" s="109" t="s">
        <v>90</v>
      </c>
      <c r="B9" s="110">
        <v>1</v>
      </c>
      <c r="C9" s="164">
        <v>10.39</v>
      </c>
      <c r="D9" s="111">
        <v>8</v>
      </c>
      <c r="E9" s="112">
        <v>0</v>
      </c>
      <c r="F9" s="112">
        <v>0</v>
      </c>
      <c r="G9" s="112">
        <v>0</v>
      </c>
      <c r="H9" s="112">
        <f>C9*(8*15)*B9</f>
        <v>1246.8000000000002</v>
      </c>
      <c r="I9" s="124">
        <f>E9+F9+G9+H9</f>
        <v>1246.8000000000002</v>
      </c>
    </row>
    <row r="10" spans="1:9" customFormat="1" ht="12.95" customHeight="1" x14ac:dyDescent="0.25">
      <c r="A10" s="109" t="s">
        <v>93</v>
      </c>
      <c r="B10" s="110">
        <v>6</v>
      </c>
      <c r="C10" s="164">
        <v>5.7</v>
      </c>
      <c r="D10" s="111">
        <v>8</v>
      </c>
      <c r="E10" s="112">
        <v>0</v>
      </c>
      <c r="F10" s="112">
        <v>0</v>
      </c>
      <c r="G10" s="112">
        <v>0</v>
      </c>
      <c r="H10" s="112">
        <f>C10*(8*15)*B10</f>
        <v>4104</v>
      </c>
      <c r="I10" s="124">
        <f>E10+F10+G10+H10</f>
        <v>4104</v>
      </c>
    </row>
    <row r="11" spans="1:9" customFormat="1" ht="12.95" customHeight="1" x14ac:dyDescent="0.25">
      <c r="A11" s="165"/>
      <c r="B11" s="110"/>
      <c r="C11" s="166"/>
      <c r="D11" s="111"/>
      <c r="E11" s="111"/>
      <c r="F11" s="111"/>
      <c r="G11" s="111"/>
      <c r="H11" s="167"/>
      <c r="I11" s="168"/>
    </row>
    <row r="12" spans="1:9" customFormat="1" ht="12.95" customHeight="1" x14ac:dyDescent="0.25">
      <c r="A12" s="113"/>
      <c r="B12" s="170"/>
      <c r="C12" s="166"/>
      <c r="D12" s="111"/>
      <c r="E12" s="111"/>
      <c r="F12" s="111"/>
      <c r="G12" s="111"/>
      <c r="H12" s="111"/>
      <c r="I12" s="171"/>
    </row>
    <row r="13" spans="1:9" customFormat="1" ht="12.95" customHeight="1" x14ac:dyDescent="0.25">
      <c r="A13" s="115"/>
      <c r="B13" s="172"/>
      <c r="C13" s="166"/>
      <c r="D13" s="111"/>
      <c r="E13" s="173"/>
      <c r="F13" s="213">
        <v>43765</v>
      </c>
      <c r="G13" s="173"/>
      <c r="H13" s="167"/>
      <c r="I13" s="168"/>
    </row>
    <row r="14" spans="1:9" customFormat="1" ht="14.1" customHeight="1" x14ac:dyDescent="0.25">
      <c r="A14" s="116" t="s">
        <v>148</v>
      </c>
      <c r="B14" s="174"/>
      <c r="C14" s="117"/>
      <c r="D14" s="118"/>
      <c r="E14" s="118"/>
      <c r="F14" s="118"/>
      <c r="G14" s="118"/>
      <c r="H14" s="118"/>
      <c r="I14" s="119"/>
    </row>
    <row r="15" spans="1:9" s="106" customFormat="1" ht="14.25" customHeight="1" x14ac:dyDescent="0.2">
      <c r="C15" s="120"/>
      <c r="D15" s="235" t="s">
        <v>79</v>
      </c>
      <c r="E15" s="236"/>
      <c r="F15" s="236"/>
      <c r="G15" s="236"/>
      <c r="H15" s="237"/>
      <c r="I15" s="121">
        <f>SUM(I9:I13)</f>
        <v>5350.8</v>
      </c>
    </row>
    <row r="16" spans="1:9" s="106" customFormat="1" ht="17.25" customHeight="1" x14ac:dyDescent="0.25">
      <c r="A16" s="105" t="s">
        <v>106</v>
      </c>
    </row>
    <row r="17" spans="1:8" s="106" customFormat="1" ht="13.5" customHeight="1" x14ac:dyDescent="0.2">
      <c r="A17" s="175" t="s">
        <v>107</v>
      </c>
      <c r="B17" s="176" t="s">
        <v>108</v>
      </c>
      <c r="C17" s="177" t="s">
        <v>109</v>
      </c>
      <c r="D17" s="178"/>
      <c r="E17" s="178"/>
      <c r="F17" s="178"/>
      <c r="G17" s="178"/>
      <c r="H17" s="178"/>
    </row>
    <row r="18" spans="1:8" s="106" customFormat="1" ht="15.75" hidden="1" customHeight="1" x14ac:dyDescent="0.2">
      <c r="A18" s="179" t="s">
        <v>110</v>
      </c>
      <c r="B18" s="180"/>
      <c r="C18" s="181"/>
      <c r="D18" s="182"/>
      <c r="E18" s="182"/>
      <c r="F18" s="182"/>
      <c r="G18" s="182"/>
      <c r="H18" s="182"/>
    </row>
    <row r="19" spans="1:8" s="106" customFormat="1" ht="12.75" hidden="1" x14ac:dyDescent="0.2">
      <c r="A19" s="183" t="s">
        <v>111</v>
      </c>
      <c r="B19" s="184">
        <v>0.2</v>
      </c>
      <c r="C19" s="185">
        <f>I15*B19</f>
        <v>1070.1600000000001</v>
      </c>
      <c r="D19" s="182"/>
      <c r="E19" s="182"/>
      <c r="F19" s="182"/>
      <c r="G19" s="182"/>
      <c r="H19" s="182"/>
    </row>
    <row r="20" spans="1:8" s="106" customFormat="1" ht="12.75" hidden="1" x14ac:dyDescent="0.2">
      <c r="A20" s="183" t="s">
        <v>112</v>
      </c>
      <c r="B20" s="184">
        <v>8.5000000000000006E-2</v>
      </c>
      <c r="C20" s="185">
        <f>I15*B20</f>
        <v>454.81800000000004</v>
      </c>
      <c r="D20" s="186"/>
      <c r="E20" s="186"/>
      <c r="F20" s="186"/>
      <c r="G20" s="186"/>
      <c r="H20" s="182"/>
    </row>
    <row r="21" spans="1:8" s="106" customFormat="1" ht="12.75" hidden="1" x14ac:dyDescent="0.2">
      <c r="A21" s="183"/>
      <c r="B21" s="184"/>
      <c r="C21" s="185"/>
      <c r="D21" s="186"/>
      <c r="E21" s="186"/>
      <c r="F21" s="186"/>
      <c r="G21" s="186"/>
      <c r="H21" s="182"/>
    </row>
    <row r="22" spans="1:8" s="106" customFormat="1" ht="15.75" hidden="1" customHeight="1" x14ac:dyDescent="0.2">
      <c r="A22" s="187" t="s">
        <v>113</v>
      </c>
      <c r="B22" s="188"/>
      <c r="C22" s="189"/>
      <c r="D22" s="182"/>
      <c r="E22" s="182"/>
      <c r="F22" s="182"/>
      <c r="G22" s="182"/>
      <c r="H22" s="182"/>
    </row>
    <row r="23" spans="1:8" s="106" customFormat="1" ht="12.95" hidden="1" customHeight="1" x14ac:dyDescent="0.2">
      <c r="A23" s="183" t="s">
        <v>114</v>
      </c>
      <c r="B23" s="184">
        <v>0.1091</v>
      </c>
      <c r="C23" s="185">
        <f>I15*B23</f>
        <v>583.77228000000002</v>
      </c>
      <c r="D23" s="182"/>
      <c r="E23" s="182"/>
      <c r="F23" s="182"/>
      <c r="G23" s="182"/>
      <c r="H23" s="182"/>
    </row>
    <row r="24" spans="1:8" s="106" customFormat="1" ht="12.75" hidden="1" x14ac:dyDescent="0.2">
      <c r="A24" s="183" t="s">
        <v>115</v>
      </c>
      <c r="B24" s="184">
        <v>9.4500000000000001E-2</v>
      </c>
      <c r="C24" s="185">
        <f>I15*B24</f>
        <v>505.6506</v>
      </c>
      <c r="D24" s="182"/>
      <c r="E24" s="182"/>
      <c r="F24" s="182"/>
      <c r="G24" s="182"/>
      <c r="H24" s="182"/>
    </row>
    <row r="25" spans="1:8" s="106" customFormat="1" ht="12.75" hidden="1" x14ac:dyDescent="0.2">
      <c r="A25" s="183" t="s">
        <v>116</v>
      </c>
      <c r="B25" s="190">
        <v>5.4999999999999997E-3</v>
      </c>
      <c r="C25" s="185">
        <f>I15*B25</f>
        <v>29.429399999999998</v>
      </c>
      <c r="D25" s="182"/>
      <c r="E25" s="182"/>
      <c r="F25" s="182"/>
      <c r="G25" s="182"/>
      <c r="H25" s="182"/>
    </row>
    <row r="26" spans="1:8" s="106" customFormat="1" ht="12.75" hidden="1" x14ac:dyDescent="0.2">
      <c r="A26" s="183" t="s">
        <v>117</v>
      </c>
      <c r="B26" s="184">
        <v>0.5</v>
      </c>
      <c r="C26" s="185">
        <f>I15*B26</f>
        <v>2675.4</v>
      </c>
      <c r="D26" s="182"/>
      <c r="E26" s="182"/>
      <c r="F26" s="182"/>
      <c r="G26" s="182"/>
      <c r="H26" s="182"/>
    </row>
    <row r="27" spans="1:8" s="106" customFormat="1" ht="12.75" hidden="1" x14ac:dyDescent="0.2">
      <c r="A27" s="183"/>
      <c r="B27" s="191"/>
      <c r="C27" s="185"/>
      <c r="D27" s="182"/>
      <c r="E27" s="182"/>
      <c r="F27" s="182"/>
      <c r="G27" s="182"/>
      <c r="H27" s="182"/>
    </row>
    <row r="28" spans="1:8" s="106" customFormat="1" ht="15.75" hidden="1" customHeight="1" x14ac:dyDescent="0.2">
      <c r="A28" s="187" t="s">
        <v>118</v>
      </c>
      <c r="B28" s="188"/>
      <c r="C28" s="192"/>
      <c r="D28" s="182"/>
      <c r="E28" s="182"/>
      <c r="F28" s="182"/>
      <c r="G28" s="182"/>
      <c r="H28" s="182"/>
    </row>
    <row r="29" spans="1:8" s="106" customFormat="1" ht="10.5" hidden="1" customHeight="1" x14ac:dyDescent="0.2">
      <c r="A29" s="187"/>
      <c r="B29" s="188"/>
      <c r="C29" s="192"/>
      <c r="D29" s="182"/>
      <c r="E29" s="182"/>
      <c r="F29" s="182"/>
      <c r="G29" s="182"/>
      <c r="H29" s="182"/>
    </row>
    <row r="30" spans="1:8" s="106" customFormat="1" ht="12.95" hidden="1" customHeight="1" x14ac:dyDescent="0.2">
      <c r="A30" s="183" t="s">
        <v>119</v>
      </c>
      <c r="B30" s="184">
        <v>7.9299999999999995E-2</v>
      </c>
      <c r="C30" s="185">
        <f>I15*B30</f>
        <v>424.31844000000001</v>
      </c>
      <c r="D30" s="182"/>
      <c r="E30" s="182"/>
      <c r="F30" s="182"/>
      <c r="G30" s="182"/>
      <c r="H30" s="182"/>
    </row>
    <row r="31" spans="1:8" s="106" customFormat="1" ht="12.95" hidden="1" customHeight="1" x14ac:dyDescent="0.2">
      <c r="A31" s="183"/>
      <c r="B31" s="184"/>
      <c r="C31" s="185"/>
      <c r="D31" s="182"/>
      <c r="E31" s="182"/>
      <c r="F31" s="182"/>
      <c r="G31" s="182"/>
      <c r="H31" s="182"/>
    </row>
    <row r="32" spans="1:8" s="106" customFormat="1" ht="15.75" hidden="1" customHeight="1" x14ac:dyDescent="0.2">
      <c r="A32" s="187" t="s">
        <v>120</v>
      </c>
      <c r="B32" s="188"/>
      <c r="C32" s="192"/>
      <c r="D32" s="182"/>
      <c r="E32" s="182"/>
      <c r="F32" s="182"/>
      <c r="G32" s="182"/>
      <c r="H32" s="182"/>
    </row>
    <row r="33" spans="1:9" s="106" customFormat="1" ht="8.25" hidden="1" customHeight="1" x14ac:dyDescent="0.2">
      <c r="A33" s="187"/>
      <c r="B33" s="193"/>
      <c r="C33" s="192"/>
      <c r="D33" s="182"/>
      <c r="E33" s="182"/>
      <c r="F33" s="182"/>
      <c r="G33" s="182"/>
      <c r="H33" s="182"/>
    </row>
    <row r="34" spans="1:9" s="106" customFormat="1" ht="12.95" hidden="1" customHeight="1" x14ac:dyDescent="0.2">
      <c r="A34" s="183" t="s">
        <v>121</v>
      </c>
      <c r="B34" s="194" t="s">
        <v>122</v>
      </c>
      <c r="C34" s="185">
        <f>50/100*C20</f>
        <v>227.40900000000002</v>
      </c>
      <c r="D34" s="182"/>
      <c r="E34" s="182"/>
      <c r="F34" s="182"/>
      <c r="G34" s="182"/>
      <c r="H34" s="182"/>
    </row>
    <row r="35" spans="1:9" s="106" customFormat="1" ht="12.75" hidden="1" x14ac:dyDescent="0.2">
      <c r="A35" s="195"/>
      <c r="B35" s="196"/>
      <c r="C35" s="197"/>
      <c r="D35" s="182"/>
      <c r="E35" s="182"/>
      <c r="F35" s="182"/>
      <c r="G35" s="182"/>
      <c r="H35" s="182"/>
    </row>
    <row r="36" spans="1:9" s="106" customFormat="1" ht="14.25" customHeight="1" x14ac:dyDescent="0.2">
      <c r="A36" s="198" t="s">
        <v>123</v>
      </c>
      <c r="B36" s="199"/>
      <c r="C36" s="200">
        <f>SUM(C19:C35)</f>
        <v>5970.9577199999994</v>
      </c>
      <c r="D36" s="201"/>
      <c r="E36" s="202"/>
      <c r="F36" s="202"/>
      <c r="G36" s="202"/>
      <c r="H36" s="203"/>
    </row>
    <row r="37" spans="1:9" s="106" customFormat="1" ht="7.5" customHeight="1" x14ac:dyDescent="0.2">
      <c r="B37" s="178"/>
    </row>
    <row r="38" spans="1:9" s="106" customFormat="1" ht="14.25" customHeight="1" x14ac:dyDescent="0.2">
      <c r="A38" s="204"/>
      <c r="C38" s="205"/>
      <c r="D38" s="238" t="s">
        <v>124</v>
      </c>
      <c r="E38" s="239"/>
      <c r="F38" s="206"/>
      <c r="G38" s="206"/>
      <c r="H38" s="240">
        <f>C36+I15</f>
        <v>11321.75772</v>
      </c>
      <c r="I38" s="241"/>
    </row>
    <row r="39" spans="1:9" customFormat="1" ht="17.25" customHeight="1" x14ac:dyDescent="0.25"/>
    <row r="40" spans="1:9" customFormat="1" ht="17.25" customHeight="1" x14ac:dyDescent="0.25">
      <c r="A40" s="230" t="s">
        <v>83</v>
      </c>
      <c r="B40" s="231"/>
      <c r="C40" s="231"/>
      <c r="D40" s="231"/>
      <c r="E40" s="231"/>
      <c r="F40" s="231"/>
      <c r="G40" s="232"/>
    </row>
    <row r="41" spans="1:9" s="106" customFormat="1" ht="12.75" x14ac:dyDescent="0.2"/>
    <row r="42" spans="1:9" s="106" customFormat="1" x14ac:dyDescent="0.2">
      <c r="A42" s="150"/>
      <c r="B42" s="151" t="s">
        <v>84</v>
      </c>
      <c r="C42" s="151" t="s">
        <v>85</v>
      </c>
      <c r="D42" s="152" t="s">
        <v>86</v>
      </c>
      <c r="E42" s="152" t="s">
        <v>87</v>
      </c>
      <c r="F42" s="152" t="s">
        <v>88</v>
      </c>
      <c r="G42" s="152" t="s">
        <v>89</v>
      </c>
    </row>
    <row r="43" spans="1:9" s="106" customFormat="1" ht="12.75" x14ac:dyDescent="0.2">
      <c r="A43" s="109" t="s">
        <v>90</v>
      </c>
      <c r="B43" s="110">
        <v>1</v>
      </c>
      <c r="C43" s="153">
        <v>15</v>
      </c>
      <c r="D43" s="152">
        <v>5.4</v>
      </c>
      <c r="E43" s="152">
        <v>12.96</v>
      </c>
      <c r="F43" s="154">
        <v>0</v>
      </c>
      <c r="G43" s="155">
        <f t="shared" ref="G43:G44" si="0">(B43*C43*(D43+E43+F43))</f>
        <v>275.39999999999998</v>
      </c>
      <c r="H43" s="233"/>
    </row>
    <row r="44" spans="1:9" s="106" customFormat="1" ht="12.75" x14ac:dyDescent="0.2">
      <c r="A44" s="109" t="s">
        <v>93</v>
      </c>
      <c r="B44" s="110">
        <v>6</v>
      </c>
      <c r="C44" s="153">
        <v>15</v>
      </c>
      <c r="D44" s="152">
        <v>5.4</v>
      </c>
      <c r="E44" s="152">
        <v>12.96</v>
      </c>
      <c r="F44" s="154">
        <v>0</v>
      </c>
      <c r="G44" s="155">
        <f t="shared" si="0"/>
        <v>1652.3999999999999</v>
      </c>
      <c r="H44" s="233"/>
    </row>
    <row r="45" spans="1:9" s="106" customFormat="1" ht="12.75" x14ac:dyDescent="0.2">
      <c r="G45" s="156">
        <f>SUM(G43:G44)</f>
        <v>1927.7999999999997</v>
      </c>
    </row>
    <row r="49" spans="9:10" x14ac:dyDescent="0.2">
      <c r="I49" s="211">
        <f>H38+G45</f>
        <v>13249.557719999999</v>
      </c>
      <c r="J49" s="211">
        <f>I49*1.5</f>
        <v>19874.336579999999</v>
      </c>
    </row>
  </sheetData>
  <mergeCells count="6">
    <mergeCell ref="H43:H44"/>
    <mergeCell ref="A5:I5"/>
    <mergeCell ref="D15:H15"/>
    <mergeCell ref="D38:E38"/>
    <mergeCell ref="H38:I38"/>
    <mergeCell ref="A40:G4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DFP - 1</vt:lpstr>
      <vt:lpstr>COMPOSIÇÃO</vt:lpstr>
      <vt:lpstr>CATAÇÃO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Celice Santana Souza</dc:creator>
  <cp:lastModifiedBy>Larissa Mesquita</cp:lastModifiedBy>
  <cp:lastPrinted>2019-09-06T21:21:33Z</cp:lastPrinted>
  <dcterms:created xsi:type="dcterms:W3CDTF">2015-06-16T16:59:49Z</dcterms:created>
  <dcterms:modified xsi:type="dcterms:W3CDTF">2019-10-03T15:24:20Z</dcterms:modified>
</cp:coreProperties>
</file>