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LHO\PARANAPANEMA 2019\C.UNIFICADA rev 10\PC 971 L 19 REV 10 Refinos 01 e 02\"/>
    </mc:Choice>
  </mc:AlternateContent>
  <bookViews>
    <workbookView xWindow="0" yWindow="0" windowWidth="20490" windowHeight="9045"/>
  </bookViews>
  <sheets>
    <sheet name="DFP - refino 02" sheetId="1" r:id="rId1"/>
    <sheet name="modelo 02" sheetId="7" r:id="rId2"/>
    <sheet name="DFP - refino 01" sheetId="4" r:id="rId3"/>
    <sheet name="modelo 01" sheetId="8" r:id="rId4"/>
  </sheets>
  <definedNames>
    <definedName name="_xlnm.Print_Area" localSheetId="0">'DFP - refino 02'!$A$1:$E$192</definedName>
  </definedNames>
  <calcPr calcId="152511"/>
</workbook>
</file>

<file path=xl/calcChain.xml><?xml version="1.0" encoding="utf-8"?>
<calcChain xmlns="http://schemas.openxmlformats.org/spreadsheetml/2006/main">
  <c r="H168" i="1" l="1"/>
  <c r="H167" i="1"/>
  <c r="H171" i="1" l="1"/>
  <c r="H12" i="8" l="1"/>
  <c r="I12" i="8" s="1"/>
  <c r="H13" i="8"/>
  <c r="I13" i="8" s="1"/>
  <c r="H14" i="8"/>
  <c r="H15" i="8"/>
  <c r="H16" i="8"/>
  <c r="H17" i="8"/>
  <c r="H10" i="8"/>
  <c r="H9" i="8"/>
  <c r="C63" i="8"/>
  <c r="G63" i="8" s="1"/>
  <c r="C62" i="8"/>
  <c r="G62" i="8" s="1"/>
  <c r="C61" i="8"/>
  <c r="G61" i="8" s="1"/>
  <c r="C60" i="8"/>
  <c r="G60" i="8" s="1"/>
  <c r="C59" i="8"/>
  <c r="G59" i="8" s="1"/>
  <c r="C58" i="8"/>
  <c r="G58" i="8" s="1"/>
  <c r="G54" i="8"/>
  <c r="C54" i="8"/>
  <c r="C53" i="8"/>
  <c r="G53" i="8" s="1"/>
  <c r="G52" i="8"/>
  <c r="C52" i="8"/>
  <c r="C51" i="8"/>
  <c r="G51" i="8" s="1"/>
  <c r="G50" i="8"/>
  <c r="C50" i="8"/>
  <c r="C49" i="8"/>
  <c r="G49" i="8" s="1"/>
  <c r="G48" i="8"/>
  <c r="C48" i="8"/>
  <c r="C47" i="8"/>
  <c r="G47" i="8" s="1"/>
  <c r="G46" i="8"/>
  <c r="C46" i="8"/>
  <c r="L17" i="8"/>
  <c r="I17" i="8"/>
  <c r="G17" i="8"/>
  <c r="F17" i="8"/>
  <c r="L16" i="8"/>
  <c r="I16" i="8"/>
  <c r="G16" i="8"/>
  <c r="F16" i="8"/>
  <c r="L15" i="8"/>
  <c r="G15" i="8"/>
  <c r="F15" i="8"/>
  <c r="I15" i="8" s="1"/>
  <c r="L14" i="8"/>
  <c r="G14" i="8"/>
  <c r="F14" i="8"/>
  <c r="L13" i="8"/>
  <c r="G13" i="8"/>
  <c r="F13" i="8"/>
  <c r="L12" i="8"/>
  <c r="G12" i="8"/>
  <c r="F12" i="8"/>
  <c r="L10" i="8"/>
  <c r="F10" i="8"/>
  <c r="I10" i="8" s="1"/>
  <c r="L9" i="8"/>
  <c r="F9" i="8"/>
  <c r="I9" i="8" s="1"/>
  <c r="L8" i="8"/>
  <c r="L19" i="8" s="1"/>
  <c r="H8" i="8"/>
  <c r="F8" i="8"/>
  <c r="I8" i="8" s="1"/>
  <c r="G65" i="7"/>
  <c r="G64" i="7"/>
  <c r="G63" i="7"/>
  <c r="G62" i="7"/>
  <c r="G61" i="7"/>
  <c r="G60" i="7"/>
  <c r="G66" i="7" s="1"/>
  <c r="G56" i="7"/>
  <c r="G55" i="7"/>
  <c r="G54" i="7"/>
  <c r="G53" i="7"/>
  <c r="G52" i="7"/>
  <c r="G51" i="7"/>
  <c r="G50" i="7"/>
  <c r="G49" i="7"/>
  <c r="C48" i="7"/>
  <c r="G48" i="7" s="1"/>
  <c r="G47" i="7"/>
  <c r="G57" i="7" s="1"/>
  <c r="G67" i="7" s="1"/>
  <c r="K18" i="7"/>
  <c r="H18" i="7"/>
  <c r="G18" i="7"/>
  <c r="F18" i="7"/>
  <c r="I18" i="7" s="1"/>
  <c r="K17" i="7"/>
  <c r="H17" i="7"/>
  <c r="I17" i="7" s="1"/>
  <c r="G17" i="7"/>
  <c r="F17" i="7"/>
  <c r="K16" i="7"/>
  <c r="I16" i="7"/>
  <c r="H16" i="7"/>
  <c r="G16" i="7"/>
  <c r="F16" i="7"/>
  <c r="K15" i="7"/>
  <c r="H15" i="7"/>
  <c r="G15" i="7"/>
  <c r="F15" i="7"/>
  <c r="I15" i="7" s="1"/>
  <c r="K14" i="7"/>
  <c r="H14" i="7"/>
  <c r="G14" i="7"/>
  <c r="F14" i="7"/>
  <c r="I14" i="7" s="1"/>
  <c r="K13" i="7"/>
  <c r="H13" i="7"/>
  <c r="I13" i="7" s="1"/>
  <c r="G13" i="7"/>
  <c r="F13" i="7"/>
  <c r="K11" i="7"/>
  <c r="I11" i="7"/>
  <c r="H11" i="7"/>
  <c r="G11" i="7"/>
  <c r="F11" i="7"/>
  <c r="K10" i="7"/>
  <c r="H10" i="7"/>
  <c r="F10" i="7"/>
  <c r="I10" i="7" s="1"/>
  <c r="K9" i="7"/>
  <c r="H9" i="7"/>
  <c r="F9" i="7"/>
  <c r="I9" i="7" s="1"/>
  <c r="K8" i="7"/>
  <c r="K20" i="7" s="1"/>
  <c r="H8" i="7"/>
  <c r="F8" i="7"/>
  <c r="I8" i="7" s="1"/>
  <c r="I14" i="8" l="1"/>
  <c r="G64" i="8"/>
  <c r="H20" i="8"/>
  <c r="G55" i="8"/>
  <c r="G65" i="8" s="1"/>
  <c r="H21" i="7"/>
  <c r="C35" i="8" l="1"/>
  <c r="C28" i="8"/>
  <c r="C24" i="8"/>
  <c r="C31" i="8"/>
  <c r="C25" i="8"/>
  <c r="C39" i="8" s="1"/>
  <c r="C30" i="8"/>
  <c r="C29" i="8"/>
  <c r="C32" i="7"/>
  <c r="C26" i="7"/>
  <c r="C40" i="7" s="1"/>
  <c r="C31" i="7"/>
  <c r="C25" i="7"/>
  <c r="C42" i="7" s="1"/>
  <c r="H44" i="7" s="1"/>
  <c r="C36" i="7"/>
  <c r="C29" i="7"/>
  <c r="C30" i="7"/>
  <c r="C41" i="8" l="1"/>
  <c r="H43" i="8" s="1"/>
  <c r="E169" i="1" l="1"/>
  <c r="C145" i="1"/>
  <c r="B165" i="1"/>
  <c r="D145" i="1"/>
  <c r="D148" i="1" s="1"/>
  <c r="B138" i="1"/>
  <c r="D112" i="1"/>
  <c r="D114" i="1" s="1"/>
  <c r="D111" i="1"/>
  <c r="C72" i="1"/>
  <c r="D72" i="1" s="1"/>
  <c r="C71" i="1"/>
  <c r="D71" i="1" s="1"/>
  <c r="D69" i="1"/>
  <c r="D57" i="1"/>
  <c r="B165" i="4"/>
  <c r="B138" i="4"/>
  <c r="D112" i="4"/>
  <c r="D114" i="4" s="1"/>
  <c r="D111" i="4"/>
  <c r="C72" i="4"/>
  <c r="D72" i="4" s="1"/>
  <c r="C71" i="4"/>
  <c r="D71" i="4" s="1"/>
  <c r="C118" i="1" l="1"/>
  <c r="D118" i="1" s="1"/>
  <c r="C119" i="1"/>
  <c r="D119" i="1" s="1"/>
  <c r="C153" i="1"/>
  <c r="D153" i="1" s="1"/>
  <c r="D156" i="1" s="1"/>
  <c r="E167" i="1" s="1"/>
  <c r="C119" i="4"/>
  <c r="D119" i="4" s="1"/>
  <c r="C118" i="4"/>
  <c r="D118" i="4" s="1"/>
  <c r="D121" i="4" s="1"/>
  <c r="C68" i="4"/>
  <c r="C66" i="4"/>
  <c r="C65" i="4"/>
  <c r="C68" i="1"/>
  <c r="C66" i="1"/>
  <c r="D121" i="1" l="1"/>
  <c r="C126" i="4"/>
  <c r="D126" i="4" s="1"/>
  <c r="D129" i="4" s="1"/>
  <c r="E140" i="4" s="1"/>
  <c r="C126" i="1" l="1"/>
  <c r="D126" i="1" s="1"/>
  <c r="D129" i="1" s="1"/>
  <c r="E140" i="1" s="1"/>
  <c r="C65" i="1"/>
  <c r="D45" i="4" l="1"/>
  <c r="D70" i="4" l="1"/>
  <c r="B8" i="4"/>
  <c r="D70" i="1"/>
  <c r="B9" i="1" l="1"/>
  <c r="D58" i="4" l="1"/>
  <c r="D58" i="1"/>
  <c r="D44" i="1" l="1"/>
  <c r="D43" i="1"/>
  <c r="B104" i="4" l="1"/>
  <c r="D66" i="4"/>
  <c r="D57" i="4"/>
  <c r="C56" i="4"/>
  <c r="D56" i="4" s="1"/>
  <c r="D55" i="4"/>
  <c r="C55" i="1" l="1"/>
  <c r="D69" i="4"/>
  <c r="D66" i="1"/>
  <c r="C51" i="4"/>
  <c r="D51" i="4" s="1"/>
  <c r="D46" i="4"/>
  <c r="D50" i="1"/>
  <c r="C49" i="1"/>
  <c r="D49" i="1" s="1"/>
  <c r="D62" i="4"/>
  <c r="D62" i="1"/>
  <c r="D65" i="4" l="1"/>
  <c r="B104" i="1" l="1"/>
  <c r="D68" i="4"/>
  <c r="D67" i="4"/>
  <c r="C64" i="4"/>
  <c r="D64" i="4" s="1"/>
  <c r="D63" i="4"/>
  <c r="D50" i="4"/>
  <c r="D49" i="4"/>
  <c r="D48" i="4"/>
  <c r="D47" i="4"/>
  <c r="D44" i="4"/>
  <c r="D43" i="4"/>
  <c r="D42" i="4"/>
  <c r="C41" i="4"/>
  <c r="D41" i="4" s="1"/>
  <c r="C40" i="4"/>
  <c r="D40" i="4" s="1"/>
  <c r="C39" i="4"/>
  <c r="D39" i="4" s="1"/>
  <c r="D38" i="4"/>
  <c r="C37" i="4"/>
  <c r="D37" i="4" s="1"/>
  <c r="C36" i="4"/>
  <c r="D36" i="4" s="1"/>
  <c r="E22" i="4"/>
  <c r="E21" i="4"/>
  <c r="E20" i="4"/>
  <c r="E19" i="4"/>
  <c r="E18" i="4"/>
  <c r="E17" i="4"/>
  <c r="D52" i="4" l="1"/>
  <c r="D73" i="4"/>
  <c r="E23" i="4"/>
  <c r="E24" i="4" s="1"/>
  <c r="E26" i="4" s="1"/>
  <c r="C145" i="4" s="1"/>
  <c r="D145" i="4" s="1"/>
  <c r="D148" i="4" s="1"/>
  <c r="C153" i="4" s="1"/>
  <c r="D153" i="4" s="1"/>
  <c r="D156" i="4" s="1"/>
  <c r="E167" i="4" s="1"/>
  <c r="D59" i="4"/>
  <c r="D48" i="1"/>
  <c r="D68" i="1"/>
  <c r="D67" i="1"/>
  <c r="D65" i="1"/>
  <c r="C64" i="1"/>
  <c r="D64" i="1" s="1"/>
  <c r="D63" i="1"/>
  <c r="D46" i="1"/>
  <c r="D45" i="1"/>
  <c r="C42" i="1"/>
  <c r="D42" i="1" s="1"/>
  <c r="C41" i="1"/>
  <c r="D41" i="1" s="1"/>
  <c r="C40" i="1"/>
  <c r="D40" i="1" s="1"/>
  <c r="D39" i="1"/>
  <c r="C38" i="1"/>
  <c r="D38" i="1" s="1"/>
  <c r="C37" i="1"/>
  <c r="D37" i="1" s="1"/>
  <c r="D47" i="1"/>
  <c r="D54" i="1"/>
  <c r="D55" i="1"/>
  <c r="D56" i="1"/>
  <c r="D51" i="1" l="1"/>
  <c r="C31" i="4"/>
  <c r="E33" i="4" s="1"/>
  <c r="E75" i="4" s="1"/>
  <c r="D59" i="1"/>
  <c r="C88" i="4" l="1"/>
  <c r="D88" i="4" s="1"/>
  <c r="D91" i="4" s="1"/>
  <c r="C80" i="4"/>
  <c r="D80" i="4" s="1"/>
  <c r="C79" i="4"/>
  <c r="D79" i="4" s="1"/>
  <c r="C81" i="4"/>
  <c r="D81" i="4" s="1"/>
  <c r="D83" i="4" l="1"/>
  <c r="E95" i="4" s="1"/>
  <c r="E106" i="4" s="1"/>
  <c r="E169" i="4" s="1"/>
  <c r="E23" i="1" l="1"/>
  <c r="E22" i="1"/>
  <c r="E21" i="1"/>
  <c r="E20" i="1"/>
  <c r="E19" i="1"/>
  <c r="D73" i="1" l="1"/>
  <c r="E24" i="1"/>
  <c r="E25" i="1" s="1"/>
  <c r="E27" i="1" l="1"/>
  <c r="C32" i="1" l="1"/>
  <c r="E34" i="1" s="1"/>
  <c r="E75" i="1" s="1"/>
  <c r="C88" i="1" l="1"/>
  <c r="D88" i="1" s="1"/>
  <c r="D91" i="1" s="1"/>
  <c r="C79" i="1"/>
  <c r="D79" i="1" s="1"/>
  <c r="C80" i="1"/>
  <c r="D80" i="1" s="1"/>
  <c r="C81" i="1"/>
  <c r="D81" i="1" s="1"/>
  <c r="D83" i="1" l="1"/>
  <c r="E95" i="1" s="1"/>
  <c r="E106" i="1" s="1"/>
</calcChain>
</file>

<file path=xl/sharedStrings.xml><?xml version="1.0" encoding="utf-8"?>
<sst xmlns="http://schemas.openxmlformats.org/spreadsheetml/2006/main" count="532" uniqueCount="168">
  <si>
    <t>1.Custos Diretos</t>
  </si>
  <si>
    <t xml:space="preserve"> </t>
  </si>
  <si>
    <t>1.1 a) Mão-de-Obra (M.O)</t>
  </si>
  <si>
    <t>Categoria Profissional</t>
  </si>
  <si>
    <t>Horas/Dias/Meses Trabalhados</t>
  </si>
  <si>
    <t>Salário
 Hora/Dia/Mês (R$)</t>
  </si>
  <si>
    <t>Quantidade de pessoal</t>
  </si>
  <si>
    <t>Total (R$)</t>
  </si>
  <si>
    <t>Total Salário Bruto</t>
  </si>
  <si>
    <t>Adicional de Periculosidade - 30%</t>
  </si>
  <si>
    <t>Total de salários</t>
  </si>
  <si>
    <t>1.1 b) Encargos Sociais, Trabalhistas e Previdenciários</t>
  </si>
  <si>
    <t>Descrição</t>
  </si>
  <si>
    <t>%</t>
  </si>
  <si>
    <t>Valores (R$)</t>
  </si>
  <si>
    <t>Total de Encargos</t>
  </si>
  <si>
    <t>Total de M.O (1.1)</t>
  </si>
  <si>
    <t>1.2 - Equipamentos Principais</t>
  </si>
  <si>
    <t>Tipo</t>
  </si>
  <si>
    <t>Quantidade      Prevista</t>
  </si>
  <si>
    <t>Custo Unitário (R$)</t>
  </si>
  <si>
    <t>Valor Total (R$)</t>
  </si>
  <si>
    <t>Total Equipamentos</t>
  </si>
  <si>
    <t>1.3 - Materiais e Ferramentaria</t>
  </si>
  <si>
    <t>Materiais de Consumo</t>
  </si>
  <si>
    <t>Ferramentas</t>
  </si>
  <si>
    <t>Total Materiais</t>
  </si>
  <si>
    <t>1.4 Outros Custos Diretos</t>
  </si>
  <si>
    <t>Quantidade Prevista</t>
  </si>
  <si>
    <t>Custo Unitário R$</t>
  </si>
  <si>
    <t>Transporte</t>
  </si>
  <si>
    <t>Total de Outros Custos Diretos</t>
  </si>
  <si>
    <t>Total Custos Diretos (1.1+1.2+1.3+1.4)</t>
  </si>
  <si>
    <t>2.Custos Indiretos</t>
  </si>
  <si>
    <t>Alíquota (%) em relação ao ítem 1</t>
  </si>
  <si>
    <t>Base de Cálculo (R$)</t>
  </si>
  <si>
    <t>Total Custos Indiretos</t>
  </si>
  <si>
    <t>3.Tributos Incidentes sobre o Lucro</t>
  </si>
  <si>
    <t>Alíquota (%)</t>
  </si>
  <si>
    <t>Total Tributos Incidentes sobre o lucro</t>
  </si>
  <si>
    <t>4.Total dos Custos (R$)</t>
  </si>
  <si>
    <t>Custos Diretos + Custos Indiretos + Tributos Sobre o Lucro</t>
  </si>
  <si>
    <t>5.Tributos Incidentes sobre o Faturamento</t>
  </si>
  <si>
    <t>ISS</t>
  </si>
  <si>
    <t>PIS</t>
  </si>
  <si>
    <t>COFINS</t>
  </si>
  <si>
    <t>Total Tributos sobre o Faturamento</t>
  </si>
  <si>
    <t>6.Preço Total para Faturamento (R$)</t>
  </si>
  <si>
    <t xml:space="preserve">          INSTRUÇÕES PARA PREENCHIMENTO DA PLANILHA</t>
  </si>
  <si>
    <t>1.1</t>
  </si>
  <si>
    <t>Preenche-se a categoria profissional</t>
  </si>
  <si>
    <t>Preenche-se a quantidade de horas, dias ou meses que o profissional trabalhará</t>
  </si>
  <si>
    <t>Preenche-se o valor do salário do profissional por hora, dia ou mês, de acordo com o que foi preenchido no quadro anterior.</t>
  </si>
  <si>
    <t>Preenche-se a quantidade de profissionais daquela categoria que serão necessários para a realização do serviço</t>
  </si>
  <si>
    <t>Preenche-se os percentuais referentes aos encargos sociais. Se necessário, pode-se acrescentar outros encargos sociais que</t>
  </si>
  <si>
    <t>venham a incidir nos custos</t>
  </si>
  <si>
    <t xml:space="preserve">1.2 - 1.3 - 1.4 </t>
  </si>
  <si>
    <t>Preenche-se a quantidade prevista dos itens relacionados. Se necessário, pode-se acrescentar outros itens que sejam relevantes</t>
  </si>
  <si>
    <t>Preenche-se os custos unitários referentes aos itens relacionados</t>
  </si>
  <si>
    <t>Preenche-se os percentuais incidentes sobre os custos diretos, referentes à taxa de administração e à margem de lucro</t>
  </si>
  <si>
    <t>Preenche-se os percentuais referentes aos tributos que incidem sobre o lucro</t>
  </si>
  <si>
    <t>Preenche-se os percentuais referentes aos tributos que incidem sobre o faturamento</t>
  </si>
  <si>
    <t xml:space="preserve">OBS: Os cálculos serão feitos automaticamente pelas fórmulas contidas na planilha </t>
  </si>
  <si>
    <t>ATENÇÃO: PREENCHER SOMENTE OS CAMPOS EM AZUL</t>
  </si>
  <si>
    <t xml:space="preserve">DEMONSTRATIVO DE FORMAÇÃO DE PREÇO DOS SERVIÇOS </t>
  </si>
  <si>
    <t xml:space="preserve">Preço Total para Faturamento </t>
  </si>
  <si>
    <t>Supervisor</t>
  </si>
  <si>
    <t>Téc. de Segurança</t>
  </si>
  <si>
    <t>Pedreiro Refratarista</t>
  </si>
  <si>
    <t>Cortador</t>
  </si>
  <si>
    <t>Ajudante</t>
  </si>
  <si>
    <t>Obs. Segurança</t>
  </si>
  <si>
    <t>Exames Médicos</t>
  </si>
  <si>
    <t>Seguro de Acidentes Pessoais</t>
  </si>
  <si>
    <t>Cesta Básica</t>
  </si>
  <si>
    <t>Higienização de EPI´S</t>
  </si>
  <si>
    <t>Máquina Policort</t>
  </si>
  <si>
    <t>vb</t>
  </si>
  <si>
    <t>Compressor de Ar</t>
  </si>
  <si>
    <t>Martelete</t>
  </si>
  <si>
    <t>Ponteira de Martelete</t>
  </si>
  <si>
    <t>Robo Brokk</t>
  </si>
  <si>
    <t>Adm. Central e Gerenciamento</t>
  </si>
  <si>
    <t>Despesas Financeiras</t>
  </si>
  <si>
    <t>Lucro Operacional</t>
  </si>
  <si>
    <t>Provisão p/ IRPJ e CSLL</t>
  </si>
  <si>
    <t>Encarregado</t>
  </si>
  <si>
    <t>Iluminaçao</t>
  </si>
  <si>
    <t xml:space="preserve">Misturador de Concreto </t>
  </si>
  <si>
    <t>Disco Máquina Policorte</t>
  </si>
  <si>
    <t>Serra Tico-tico</t>
  </si>
  <si>
    <t>Serra Circular</t>
  </si>
  <si>
    <t>Rádios</t>
  </si>
  <si>
    <t>Caminhão</t>
  </si>
  <si>
    <t>Empilhadeira</t>
  </si>
  <si>
    <t xml:space="preserve">Toldo 6 x 6 </t>
  </si>
  <si>
    <t>Fardamento</t>
  </si>
  <si>
    <t>EPI's</t>
  </si>
  <si>
    <t>Vibrador</t>
  </si>
  <si>
    <t>Téc. de Planejamento</t>
  </si>
  <si>
    <t>Coordenador</t>
  </si>
  <si>
    <t>vg</t>
  </si>
  <si>
    <t>Container 6m - almox</t>
  </si>
  <si>
    <t>Container 6m - vest</t>
  </si>
  <si>
    <t>Container 6m - adm</t>
  </si>
  <si>
    <t>Sistema de Travamento dos tijolos do Cilindro</t>
  </si>
  <si>
    <t>Catação</t>
  </si>
  <si>
    <t>Aviso Prévio Indenizado</t>
  </si>
  <si>
    <t>Almoxarife</t>
  </si>
  <si>
    <t>Alimentação  (para serviços fora da Paranapanema)</t>
  </si>
  <si>
    <t>Hospedagem</t>
  </si>
  <si>
    <t xml:space="preserve">Passagem </t>
  </si>
  <si>
    <t>7. Prêmio Parada</t>
  </si>
  <si>
    <t>Prêmio de Parada</t>
  </si>
  <si>
    <t>7.1 Custos Indiretos</t>
  </si>
  <si>
    <t>7.2 Tributos Incidentes sobre o Lucro</t>
  </si>
  <si>
    <t>7.3 Tributos Incidentes sobre o Faturamento</t>
  </si>
  <si>
    <t>7.4 .Preço Total  (R$)</t>
  </si>
  <si>
    <t>8. Aviso Prévio Indenizado</t>
  </si>
  <si>
    <t>8.1 Tributos Incidentes sobre o Lucro</t>
  </si>
  <si>
    <t>8.2 Tributos Incidentes sobre o Faturamento</t>
  </si>
  <si>
    <t>8.3 Preço Total  (R$)</t>
  </si>
  <si>
    <t>Apoio Eletricista</t>
  </si>
  <si>
    <t>Alimentação (para serviços fora da Paranapanema)</t>
  </si>
  <si>
    <t>Total</t>
  </si>
  <si>
    <t>lanche</t>
  </si>
  <si>
    <t>almoço</t>
  </si>
  <si>
    <t>Dias</t>
  </si>
  <si>
    <t>Qtd</t>
  </si>
  <si>
    <t>desjejum</t>
  </si>
  <si>
    <t>Total de M.O. + Encargos</t>
  </si>
  <si>
    <t>TOTAL  ENCARGOS</t>
  </si>
  <si>
    <t>50% (FGTS)</t>
  </si>
  <si>
    <t>Depósito por despedida</t>
  </si>
  <si>
    <t xml:space="preserve">D) Multa por Despedida </t>
  </si>
  <si>
    <t>Reincidência de "A"  x "B"</t>
  </si>
  <si>
    <t xml:space="preserve">C) Taxa das Reincidências </t>
  </si>
  <si>
    <t>Aviso Prévio Idenizado</t>
  </si>
  <si>
    <t>Auxílio Doença</t>
  </si>
  <si>
    <t>Férias</t>
  </si>
  <si>
    <t>13º Salário</t>
  </si>
  <si>
    <t xml:space="preserve">B) Encargos Esporádicos </t>
  </si>
  <si>
    <t>FGTS</t>
  </si>
  <si>
    <t>INSS Empresa</t>
  </si>
  <si>
    <t>A) Encargos Básicos</t>
  </si>
  <si>
    <t>Valor Mensal</t>
  </si>
  <si>
    <t>% Encargos</t>
  </si>
  <si>
    <t>Encargos Sociais</t>
  </si>
  <si>
    <t xml:space="preserve">1.2 Encargos Sociais </t>
  </si>
  <si>
    <t>Total Salários</t>
  </si>
  <si>
    <r>
      <t>BASE: MAIO</t>
    </r>
    <r>
      <rPr>
        <sz val="10"/>
        <rFont val="Arial"/>
        <family val="2"/>
      </rPr>
      <t>/ 2019</t>
    </r>
  </si>
  <si>
    <t>11x11</t>
  </si>
  <si>
    <t>11x10</t>
  </si>
  <si>
    <t>Mão-de-Obra Direta</t>
  </si>
  <si>
    <t>Mão-de-Obra Indireta</t>
  </si>
  <si>
    <t>premio parada</t>
  </si>
  <si>
    <t>Total
 Parcial (R$)</t>
  </si>
  <si>
    <t>Hora Normal</t>
  </si>
  <si>
    <t>Adc. Noturno</t>
  </si>
  <si>
    <t>Hora Extra</t>
  </si>
  <si>
    <t>Periculosidade</t>
  </si>
  <si>
    <t>Regime de
 Trabalho</t>
  </si>
  <si>
    <t>Salário
 Básico (R$)</t>
  </si>
  <si>
    <t>Quantidade</t>
  </si>
  <si>
    <t xml:space="preserve">1.1 Salários </t>
  </si>
  <si>
    <t>COMPOSIÇÃO DE PREÇOS- Forno Refino e Incinerador (2 turnos)</t>
  </si>
  <si>
    <t>prêmio parada</t>
  </si>
  <si>
    <t>Preço Total para Faturamento com desconto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</si>
</sst>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0.0"/>
    <numFmt numFmtId="167" formatCode="0.0%"/>
    <numFmt numFmtId="168" formatCode="&quot;R$&quot;\ #,##0.00"/>
    <numFmt numFmtId="169" formatCode="_(&quot;R$&quot;* #,##0.00_);_(&quot;R$&quot;* \(#,##0.00\);_(&quot;R$&quot;* &quot;-&quot;??_);_(@_)"/>
    <numFmt numFmtId="170" formatCode="&quot;R$&quot;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u/>
      <sz val="13"/>
      <color theme="0"/>
      <name val="Calibri"/>
      <family val="2"/>
      <scheme val="minor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7"/>
      </patternFill>
    </fill>
    <fill>
      <patternFill patternType="lightGray">
        <fgColor indexed="22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indexed="22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indexed="9"/>
        <bgColor indexed="64"/>
      </patternFill>
    </fill>
    <fill>
      <patternFill patternType="lightGray">
        <fgColor theme="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66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/>
    <xf numFmtId="0" fontId="2" fillId="0" borderId="1" xfId="1" applyFont="1" applyBorder="1"/>
    <xf numFmtId="0" fontId="2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Fill="1" applyAlignment="1">
      <alignment horizontal="left"/>
    </xf>
    <xf numFmtId="0" fontId="2" fillId="0" borderId="0" xfId="1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4" fillId="0" borderId="0" xfId="1" applyFont="1" applyAlignment="1">
      <alignment horizontal="right" vertical="center"/>
    </xf>
    <xf numFmtId="0" fontId="2" fillId="0" borderId="3" xfId="1" applyFont="1" applyBorder="1"/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0" fontId="2" fillId="0" borderId="0" xfId="1" applyNumberFormat="1" applyFont="1" applyAlignment="1">
      <alignment horizontal="center"/>
    </xf>
    <xf numFmtId="0" fontId="3" fillId="2" borderId="4" xfId="1" applyFont="1" applyFill="1" applyBorder="1" applyAlignment="1">
      <alignment horizontal="center" vertical="center" wrapText="1"/>
    </xf>
    <xf numFmtId="0" fontId="2" fillId="0" borderId="8" xfId="1" applyFont="1" applyBorder="1"/>
    <xf numFmtId="0" fontId="2" fillId="0" borderId="9" xfId="1" applyFont="1" applyBorder="1"/>
    <xf numFmtId="0" fontId="4" fillId="0" borderId="0" xfId="1" applyFont="1" applyBorder="1"/>
    <xf numFmtId="165" fontId="3" fillId="0" borderId="0" xfId="1" applyNumberFormat="1" applyFont="1" applyBorder="1"/>
    <xf numFmtId="0" fontId="2" fillId="0" borderId="10" xfId="1" applyFont="1" applyBorder="1"/>
    <xf numFmtId="0" fontId="2" fillId="0" borderId="6" xfId="1" applyFont="1" applyBorder="1" applyAlignment="1">
      <alignment horizontal="center"/>
    </xf>
    <xf numFmtId="165" fontId="2" fillId="0" borderId="6" xfId="3" applyFont="1" applyFill="1" applyBorder="1" applyAlignment="1" applyProtection="1">
      <alignment horizontal="center" wrapText="1"/>
      <protection locked="0"/>
    </xf>
    <xf numFmtId="0" fontId="3" fillId="0" borderId="5" xfId="1" applyFont="1" applyBorder="1" applyAlignment="1">
      <alignment vertical="center"/>
    </xf>
    <xf numFmtId="0" fontId="3" fillId="0" borderId="11" xfId="3" applyNumberFormat="1" applyFont="1" applyBorder="1" applyAlignment="1">
      <alignment horizontal="center" vertical="center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6" fillId="0" borderId="0" xfId="1" applyFont="1" applyAlignment="1">
      <alignment horizontal="left"/>
    </xf>
    <xf numFmtId="0" fontId="3" fillId="0" borderId="0" xfId="1" applyFont="1"/>
    <xf numFmtId="0" fontId="9" fillId="0" borderId="0" xfId="1" applyFont="1"/>
    <xf numFmtId="0" fontId="4" fillId="3" borderId="4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 applyProtection="1">
      <alignment vertical="center"/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165" fontId="2" fillId="4" borderId="13" xfId="3" applyFont="1" applyFill="1" applyBorder="1" applyAlignment="1" applyProtection="1">
      <alignment horizontal="center" wrapText="1"/>
      <protection locked="0"/>
    </xf>
    <xf numFmtId="0" fontId="2" fillId="4" borderId="13" xfId="3" applyNumberFormat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>
      <alignment horizontal="center" vertical="center"/>
    </xf>
    <xf numFmtId="10" fontId="2" fillId="4" borderId="9" xfId="1" applyNumberFormat="1" applyFont="1" applyFill="1" applyBorder="1" applyAlignment="1" applyProtection="1">
      <alignment horizontal="center"/>
      <protection locked="0"/>
    </xf>
    <xf numFmtId="0" fontId="2" fillId="4" borderId="9" xfId="1" applyNumberFormat="1" applyFont="1" applyFill="1" applyBorder="1" applyAlignment="1" applyProtection="1">
      <alignment horizontal="center"/>
      <protection locked="0"/>
    </xf>
    <xf numFmtId="165" fontId="2" fillId="4" borderId="9" xfId="3" applyFont="1" applyFill="1" applyBorder="1" applyAlignment="1" applyProtection="1">
      <alignment horizontal="center"/>
      <protection locked="0"/>
    </xf>
    <xf numFmtId="0" fontId="4" fillId="3" borderId="4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justify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vertical="center"/>
    </xf>
    <xf numFmtId="10" fontId="2" fillId="4" borderId="1" xfId="1" applyNumberFormat="1" applyFont="1" applyFill="1" applyBorder="1" applyAlignment="1" applyProtection="1">
      <alignment horizontal="center"/>
      <protection locked="0"/>
    </xf>
    <xf numFmtId="0" fontId="3" fillId="5" borderId="0" xfId="1" applyFont="1" applyFill="1" applyAlignment="1">
      <alignment horizontal="left"/>
    </xf>
    <xf numFmtId="0" fontId="3" fillId="5" borderId="4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/>
    </xf>
    <xf numFmtId="0" fontId="3" fillId="5" borderId="5" xfId="1" applyFont="1" applyFill="1" applyBorder="1" applyAlignment="1">
      <alignment vertical="center"/>
    </xf>
    <xf numFmtId="0" fontId="2" fillId="5" borderId="7" xfId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0" fontId="4" fillId="0" borderId="5" xfId="1" applyFont="1" applyBorder="1" applyAlignment="1" applyProtection="1">
      <alignment vertical="center"/>
      <protection locked="0"/>
    </xf>
    <xf numFmtId="0" fontId="2" fillId="0" borderId="6" xfId="1" applyFont="1" applyBorder="1" applyProtection="1">
      <protection locked="0"/>
    </xf>
    <xf numFmtId="165" fontId="3" fillId="0" borderId="7" xfId="1" applyNumberFormat="1" applyFont="1" applyBorder="1" applyAlignment="1" applyProtection="1">
      <alignment vertical="center"/>
      <protection locked="0"/>
    </xf>
    <xf numFmtId="165" fontId="2" fillId="3" borderId="13" xfId="3" applyFont="1" applyFill="1" applyBorder="1" applyAlignment="1" applyProtection="1">
      <alignment horizontal="center" vertical="center"/>
    </xf>
    <xf numFmtId="165" fontId="3" fillId="0" borderId="13" xfId="3" applyFont="1" applyBorder="1" applyAlignment="1" applyProtection="1">
      <alignment horizontal="center" vertical="center"/>
    </xf>
    <xf numFmtId="165" fontId="3" fillId="0" borderId="4" xfId="1" applyNumberFormat="1" applyFont="1" applyBorder="1" applyAlignment="1" applyProtection="1">
      <alignment vertical="center"/>
    </xf>
    <xf numFmtId="165" fontId="3" fillId="5" borderId="7" xfId="1" applyNumberFormat="1" applyFont="1" applyFill="1" applyBorder="1" applyAlignment="1" applyProtection="1">
      <alignment horizontal="right" vertical="center"/>
    </xf>
    <xf numFmtId="165" fontId="2" fillId="3" borderId="9" xfId="1" applyNumberFormat="1" applyFont="1" applyFill="1" applyBorder="1" applyAlignment="1" applyProtection="1">
      <alignment horizontal="center"/>
    </xf>
    <xf numFmtId="165" fontId="2" fillId="3" borderId="9" xfId="3" applyFont="1" applyFill="1" applyBorder="1" applyAlignment="1" applyProtection="1">
      <alignment horizontal="center"/>
    </xf>
    <xf numFmtId="165" fontId="2" fillId="3" borderId="1" xfId="3" applyFont="1" applyFill="1" applyBorder="1" applyAlignment="1" applyProtection="1">
      <alignment horizontal="center"/>
    </xf>
    <xf numFmtId="165" fontId="3" fillId="2" borderId="4" xfId="1" applyNumberFormat="1" applyFont="1" applyFill="1" applyBorder="1" applyAlignment="1" applyProtection="1">
      <alignment vertical="center"/>
    </xf>
    <xf numFmtId="10" fontId="3" fillId="2" borderId="4" xfId="1" applyNumberFormat="1" applyFont="1" applyFill="1" applyBorder="1" applyAlignment="1" applyProtection="1">
      <alignment horizontal="center" vertical="center"/>
    </xf>
    <xf numFmtId="0" fontId="1" fillId="0" borderId="10" xfId="1" applyBorder="1"/>
    <xf numFmtId="0" fontId="3" fillId="5" borderId="5" xfId="1" applyFont="1" applyFill="1" applyBorder="1" applyAlignment="1">
      <alignment horizontal="right" vertical="center"/>
    </xf>
    <xf numFmtId="10" fontId="3" fillId="5" borderId="4" xfId="2" applyNumberFormat="1" applyFont="1" applyFill="1" applyBorder="1" applyAlignment="1" applyProtection="1">
      <alignment vertical="center"/>
    </xf>
    <xf numFmtId="0" fontId="3" fillId="3" borderId="7" xfId="1" applyFont="1" applyFill="1" applyBorder="1" applyAlignment="1">
      <alignment horizontal="center" vertical="center" wrapText="1"/>
    </xf>
    <xf numFmtId="165" fontId="3" fillId="5" borderId="4" xfId="2" applyNumberFormat="1" applyFont="1" applyFill="1" applyBorder="1" applyAlignment="1" applyProtection="1">
      <alignment vertical="center"/>
    </xf>
    <xf numFmtId="0" fontId="3" fillId="2" borderId="0" xfId="1" applyFont="1" applyFill="1" applyBorder="1" applyAlignment="1">
      <alignment horizontal="left"/>
    </xf>
    <xf numFmtId="0" fontId="2" fillId="0" borderId="16" xfId="1" applyFont="1" applyFill="1" applyBorder="1" applyProtection="1">
      <protection locked="0"/>
    </xf>
    <xf numFmtId="0" fontId="3" fillId="7" borderId="4" xfId="1" applyFont="1" applyFill="1" applyBorder="1" applyAlignment="1">
      <alignment horizontal="right" vertical="center"/>
    </xf>
    <xf numFmtId="165" fontId="3" fillId="7" borderId="4" xfId="1" applyNumberFormat="1" applyFont="1" applyFill="1" applyBorder="1" applyAlignment="1" applyProtection="1">
      <alignment horizontal="right" vertical="center"/>
    </xf>
    <xf numFmtId="0" fontId="2" fillId="7" borderId="4" xfId="1" applyFont="1" applyFill="1" applyBorder="1"/>
    <xf numFmtId="0" fontId="3" fillId="8" borderId="4" xfId="1" applyFont="1" applyFill="1" applyBorder="1" applyAlignment="1">
      <alignment horizontal="right" vertical="center"/>
    </xf>
    <xf numFmtId="165" fontId="3" fillId="8" borderId="7" xfId="1" applyNumberFormat="1" applyFont="1" applyFill="1" applyBorder="1" applyAlignment="1" applyProtection="1">
      <alignment horizontal="right" vertical="center"/>
    </xf>
    <xf numFmtId="0" fontId="11" fillId="0" borderId="0" xfId="1" applyFont="1"/>
    <xf numFmtId="0" fontId="3" fillId="7" borderId="5" xfId="1" applyFont="1" applyFill="1" applyBorder="1" applyAlignment="1">
      <alignment vertical="center"/>
    </xf>
    <xf numFmtId="0" fontId="3" fillId="7" borderId="6" xfId="1" applyFont="1" applyFill="1" applyBorder="1" applyAlignment="1">
      <alignment vertical="center"/>
    </xf>
    <xf numFmtId="0" fontId="3" fillId="7" borderId="7" xfId="1" applyFont="1" applyFill="1" applyBorder="1" applyAlignment="1">
      <alignment vertical="center"/>
    </xf>
    <xf numFmtId="165" fontId="3" fillId="7" borderId="4" xfId="3" applyFont="1" applyFill="1" applyBorder="1" applyAlignment="1" applyProtection="1">
      <alignment vertical="center"/>
    </xf>
    <xf numFmtId="0" fontId="1" fillId="4" borderId="13" xfId="1" applyFont="1" applyFill="1" applyBorder="1" applyAlignment="1" applyProtection="1">
      <alignment vertical="center"/>
      <protection locked="0"/>
    </xf>
    <xf numFmtId="0" fontId="1" fillId="4" borderId="13" xfId="1" applyFont="1" applyFill="1" applyBorder="1" applyAlignment="1" applyProtection="1">
      <alignment horizontal="center"/>
      <protection locked="0"/>
    </xf>
    <xf numFmtId="0" fontId="1" fillId="0" borderId="12" xfId="1" applyFont="1" applyBorder="1"/>
    <xf numFmtId="0" fontId="1" fillId="4" borderId="15" xfId="1" applyNumberFormat="1" applyFont="1" applyFill="1" applyBorder="1" applyAlignment="1" applyProtection="1">
      <alignment horizontal="center"/>
      <protection locked="0"/>
    </xf>
    <xf numFmtId="165" fontId="1" fillId="4" borderId="9" xfId="3" applyFont="1" applyFill="1" applyBorder="1" applyAlignment="1" applyProtection="1">
      <alignment horizontal="center"/>
      <protection locked="0"/>
    </xf>
    <xf numFmtId="165" fontId="1" fillId="3" borderId="20" xfId="1" applyNumberFormat="1" applyFont="1" applyFill="1" applyBorder="1" applyAlignment="1" applyProtection="1">
      <alignment horizontal="center"/>
    </xf>
    <xf numFmtId="0" fontId="1" fillId="0" borderId="19" xfId="1" applyFont="1" applyBorder="1"/>
    <xf numFmtId="0" fontId="1" fillId="4" borderId="9" xfId="1" applyNumberFormat="1" applyFont="1" applyFill="1" applyBorder="1" applyAlignment="1" applyProtection="1">
      <alignment horizontal="center"/>
      <protection locked="0"/>
    </xf>
    <xf numFmtId="165" fontId="1" fillId="3" borderId="19" xfId="1" applyNumberFormat="1" applyFont="1" applyFill="1" applyBorder="1" applyAlignment="1" applyProtection="1">
      <alignment horizontal="center"/>
    </xf>
    <xf numFmtId="0" fontId="1" fillId="0" borderId="9" xfId="1" applyFont="1" applyBorder="1"/>
    <xf numFmtId="0" fontId="1" fillId="4" borderId="19" xfId="1" applyNumberFormat="1" applyFont="1" applyFill="1" applyBorder="1" applyAlignment="1" applyProtection="1">
      <alignment horizontal="center"/>
      <protection locked="0"/>
    </xf>
    <xf numFmtId="165" fontId="1" fillId="3" borderId="9" xfId="1" applyNumberFormat="1" applyFont="1" applyFill="1" applyBorder="1" applyAlignment="1" applyProtection="1">
      <alignment horizontal="center"/>
    </xf>
    <xf numFmtId="10" fontId="1" fillId="4" borderId="9" xfId="1" applyNumberFormat="1" applyFont="1" applyFill="1" applyBorder="1" applyAlignment="1" applyProtection="1">
      <alignment horizontal="left"/>
      <protection locked="0"/>
    </xf>
    <xf numFmtId="0" fontId="1" fillId="0" borderId="0" xfId="1" applyFont="1"/>
    <xf numFmtId="0" fontId="1" fillId="0" borderId="3" xfId="1" applyFont="1" applyBorder="1"/>
    <xf numFmtId="0" fontId="1" fillId="4" borderId="9" xfId="1" applyFont="1" applyFill="1" applyBorder="1" applyAlignment="1" applyProtection="1">
      <alignment horizontal="center"/>
      <protection locked="0"/>
    </xf>
    <xf numFmtId="165" fontId="1" fillId="3" borderId="13" xfId="3" applyFont="1" applyFill="1" applyBorder="1" applyAlignment="1" applyProtection="1">
      <alignment horizontal="center"/>
    </xf>
    <xf numFmtId="10" fontId="1" fillId="4" borderId="8" xfId="1" applyNumberFormat="1" applyFont="1" applyFill="1" applyBorder="1" applyAlignment="1" applyProtection="1">
      <alignment horizontal="center"/>
      <protection locked="0"/>
    </xf>
    <xf numFmtId="165" fontId="1" fillId="3" borderId="8" xfId="3" applyFont="1" applyFill="1" applyBorder="1" applyAlignment="1" applyProtection="1">
      <alignment horizontal="center"/>
    </xf>
    <xf numFmtId="10" fontId="1" fillId="4" borderId="9" xfId="1" applyNumberFormat="1" applyFont="1" applyFill="1" applyBorder="1" applyAlignment="1" applyProtection="1">
      <alignment horizontal="center"/>
      <protection locked="0"/>
    </xf>
    <xf numFmtId="165" fontId="1" fillId="3" borderId="9" xfId="3" applyFont="1" applyFill="1" applyBorder="1" applyAlignment="1" applyProtection="1">
      <alignment horizontal="center"/>
    </xf>
    <xf numFmtId="0" fontId="1" fillId="0" borderId="18" xfId="1" applyFont="1" applyFill="1" applyBorder="1" applyProtection="1">
      <protection locked="0"/>
    </xf>
    <xf numFmtId="10" fontId="1" fillId="4" borderId="17" xfId="1" applyNumberFormat="1" applyFont="1" applyFill="1" applyBorder="1" applyAlignment="1" applyProtection="1">
      <alignment horizontal="center"/>
      <protection locked="0"/>
    </xf>
    <xf numFmtId="165" fontId="1" fillId="3" borderId="17" xfId="3" applyFont="1" applyFill="1" applyBorder="1" applyAlignment="1" applyProtection="1">
      <alignment horizontal="center"/>
    </xf>
    <xf numFmtId="0" fontId="1" fillId="0" borderId="14" xfId="1" applyFont="1" applyFill="1" applyBorder="1" applyProtection="1">
      <protection locked="0"/>
    </xf>
    <xf numFmtId="10" fontId="1" fillId="4" borderId="14" xfId="1" applyNumberFormat="1" applyFont="1" applyFill="1" applyBorder="1" applyAlignment="1" applyProtection="1">
      <alignment horizontal="center"/>
      <protection locked="0"/>
    </xf>
    <xf numFmtId="165" fontId="1" fillId="3" borderId="14" xfId="3" applyFont="1" applyFill="1" applyBorder="1" applyAlignment="1" applyProtection="1">
      <alignment horizontal="center"/>
    </xf>
    <xf numFmtId="10" fontId="1" fillId="4" borderId="1" xfId="1" applyNumberFormat="1" applyFont="1" applyFill="1" applyBorder="1" applyAlignment="1" applyProtection="1">
      <alignment horizontal="center"/>
      <protection locked="0"/>
    </xf>
    <xf numFmtId="0" fontId="2" fillId="4" borderId="14" xfId="3" applyNumberFormat="1" applyFont="1" applyFill="1" applyBorder="1" applyAlignment="1" applyProtection="1">
      <alignment horizontal="center" vertical="center"/>
      <protection locked="0"/>
    </xf>
    <xf numFmtId="165" fontId="2" fillId="3" borderId="14" xfId="3" applyFont="1" applyFill="1" applyBorder="1" applyAlignment="1" applyProtection="1">
      <alignment horizontal="center" vertical="center"/>
    </xf>
    <xf numFmtId="0" fontId="3" fillId="5" borderId="1" xfId="1" applyFont="1" applyFill="1" applyBorder="1" applyAlignment="1">
      <alignment horizontal="right" vertical="center"/>
    </xf>
    <xf numFmtId="165" fontId="3" fillId="5" borderId="24" xfId="1" applyNumberFormat="1" applyFont="1" applyFill="1" applyBorder="1" applyAlignment="1" applyProtection="1">
      <alignment horizontal="right" vertical="center"/>
    </xf>
    <xf numFmtId="0" fontId="1" fillId="0" borderId="14" xfId="1" applyFont="1" applyBorder="1"/>
    <xf numFmtId="0" fontId="1" fillId="4" borderId="14" xfId="1" applyNumberFormat="1" applyFont="1" applyFill="1" applyBorder="1" applyAlignment="1" applyProtection="1">
      <alignment horizontal="center"/>
      <protection locked="0"/>
    </xf>
    <xf numFmtId="165" fontId="1" fillId="3" borderId="14" xfId="1" applyNumberFormat="1" applyFont="1" applyFill="1" applyBorder="1" applyAlignment="1" applyProtection="1">
      <alignment horizontal="center"/>
    </xf>
    <xf numFmtId="0" fontId="1" fillId="0" borderId="3" xfId="1" applyFont="1" applyFill="1" applyBorder="1" applyProtection="1">
      <protection locked="0"/>
    </xf>
    <xf numFmtId="0" fontId="1" fillId="0" borderId="2" xfId="1" applyFont="1" applyBorder="1"/>
    <xf numFmtId="164" fontId="3" fillId="2" borderId="4" xfId="4" applyFont="1" applyFill="1" applyBorder="1" applyAlignment="1">
      <alignment horizontal="left"/>
    </xf>
    <xf numFmtId="10" fontId="1" fillId="4" borderId="14" xfId="1" applyNumberFormat="1" applyFont="1" applyFill="1" applyBorder="1" applyAlignment="1" applyProtection="1">
      <alignment horizontal="left"/>
      <protection locked="0"/>
    </xf>
    <xf numFmtId="0" fontId="3" fillId="9" borderId="0" xfId="1" applyFont="1" applyFill="1" applyAlignment="1">
      <alignment horizontal="left" vertical="center"/>
    </xf>
    <xf numFmtId="0" fontId="3" fillId="9" borderId="0" xfId="1" applyFont="1" applyFill="1" applyAlignment="1">
      <alignment horizontal="left"/>
    </xf>
    <xf numFmtId="0" fontId="0" fillId="9" borderId="0" xfId="0" applyFill="1"/>
    <xf numFmtId="165" fontId="5" fillId="9" borderId="0" xfId="3" applyFont="1" applyFill="1" applyBorder="1" applyAlignment="1" applyProtection="1">
      <alignment vertical="center"/>
    </xf>
    <xf numFmtId="0" fontId="1" fillId="0" borderId="9" xfId="1" applyFont="1" applyFill="1" applyBorder="1" applyProtection="1">
      <protection locked="0"/>
    </xf>
    <xf numFmtId="165" fontId="3" fillId="5" borderId="1" xfId="1" applyNumberFormat="1" applyFont="1" applyFill="1" applyBorder="1" applyAlignment="1" applyProtection="1">
      <alignment horizontal="right" vertical="center"/>
    </xf>
    <xf numFmtId="0" fontId="1" fillId="0" borderId="8" xfId="1" applyFont="1" applyBorder="1"/>
    <xf numFmtId="43" fontId="1" fillId="0" borderId="0" xfId="1" applyNumberFormat="1" applyFont="1"/>
    <xf numFmtId="10" fontId="1" fillId="0" borderId="0" xfId="1" applyNumberFormat="1" applyFont="1" applyAlignment="1">
      <alignment horizontal="center"/>
    </xf>
    <xf numFmtId="43" fontId="1" fillId="0" borderId="0" xfId="1" applyNumberFormat="1" applyFont="1" applyAlignment="1">
      <alignment horizontal="center" vertical="center"/>
    </xf>
    <xf numFmtId="0" fontId="1" fillId="3" borderId="6" xfId="1" applyFont="1" applyFill="1" applyBorder="1" applyAlignment="1">
      <alignment vertical="center"/>
    </xf>
    <xf numFmtId="0" fontId="1" fillId="3" borderId="7" xfId="1" applyFont="1" applyFill="1" applyBorder="1" applyAlignment="1">
      <alignment vertical="center"/>
    </xf>
    <xf numFmtId="164" fontId="3" fillId="9" borderId="0" xfId="4" applyFont="1" applyFill="1" applyBorder="1" applyAlignment="1">
      <alignment horizontal="left"/>
    </xf>
    <xf numFmtId="0" fontId="1" fillId="0" borderId="16" xfId="1" applyFont="1" applyFill="1" applyBorder="1" applyProtection="1">
      <protection locked="0"/>
    </xf>
    <xf numFmtId="165" fontId="1" fillId="3" borderId="1" xfId="3" applyFont="1" applyFill="1" applyBorder="1" applyAlignment="1" applyProtection="1">
      <alignment horizontal="center"/>
    </xf>
    <xf numFmtId="0" fontId="1" fillId="5" borderId="7" xfId="1" applyFont="1" applyFill="1" applyBorder="1" applyAlignment="1">
      <alignment vertical="center"/>
    </xf>
    <xf numFmtId="0" fontId="1" fillId="0" borderId="1" xfId="1" applyFont="1" applyBorder="1"/>
    <xf numFmtId="164" fontId="3" fillId="3" borderId="6" xfId="4" applyFont="1" applyFill="1" applyBorder="1" applyAlignment="1">
      <alignment vertical="center"/>
    </xf>
    <xf numFmtId="0" fontId="13" fillId="0" borderId="0" xfId="0" applyFont="1"/>
    <xf numFmtId="0" fontId="1" fillId="0" borderId="0" xfId="0" applyFont="1"/>
    <xf numFmtId="164" fontId="3" fillId="10" borderId="0" xfId="0" applyNumberFormat="1" applyFont="1" applyFill="1"/>
    <xf numFmtId="164" fontId="3" fillId="0" borderId="0" xfId="0" applyNumberFormat="1" applyFont="1" applyFill="1"/>
    <xf numFmtId="164" fontId="1" fillId="0" borderId="4" xfId="4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4" xfId="3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11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165" fontId="1" fillId="0" borderId="4" xfId="0" applyNumberFormat="1" applyFont="1" applyBorder="1" applyAlignment="1">
      <alignment horizontal="center"/>
    </xf>
    <xf numFmtId="0" fontId="13" fillId="0" borderId="4" xfId="0" applyFont="1" applyFill="1" applyBorder="1" applyAlignment="1">
      <alignment horizontal="right"/>
    </xf>
    <xf numFmtId="167" fontId="13" fillId="0" borderId="0" xfId="6" applyNumberFormat="1" applyFont="1" applyAlignment="1">
      <alignment horizontal="right"/>
    </xf>
    <xf numFmtId="165" fontId="13" fillId="0" borderId="0" xfId="0" applyNumberFormat="1" applyFont="1"/>
    <xf numFmtId="0" fontId="13" fillId="0" borderId="0" xfId="0" applyFont="1" applyFill="1" applyBorder="1" applyAlignment="1">
      <alignment horizontal="right"/>
    </xf>
    <xf numFmtId="0" fontId="1" fillId="0" borderId="26" xfId="0" applyFont="1" applyFill="1" applyBorder="1" applyAlignment="1" applyProtection="1">
      <alignment horizontal="center"/>
      <protection locked="0"/>
    </xf>
    <xf numFmtId="168" fontId="1" fillId="0" borderId="0" xfId="0" applyNumberFormat="1" applyFont="1"/>
    <xf numFmtId="169" fontId="1" fillId="9" borderId="0" xfId="4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168" fontId="1" fillId="0" borderId="0" xfId="0" applyNumberFormat="1" applyFont="1" applyBorder="1"/>
    <xf numFmtId="0" fontId="14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/>
    </xf>
    <xf numFmtId="9" fontId="1" fillId="0" borderId="0" xfId="6" applyFont="1" applyFill="1" applyBorder="1" applyAlignment="1">
      <alignment horizontal="center"/>
    </xf>
    <xf numFmtId="10" fontId="1" fillId="0" borderId="0" xfId="6" applyNumberFormat="1" applyFont="1" applyFill="1" applyBorder="1" applyAlignment="1">
      <alignment horizontal="center"/>
    </xf>
    <xf numFmtId="49" fontId="3" fillId="0" borderId="0" xfId="6" applyNumberFormat="1" applyFont="1" applyFill="1" applyBorder="1" applyAlignment="1">
      <alignment horizontal="left"/>
    </xf>
    <xf numFmtId="169" fontId="3" fillId="5" borderId="4" xfId="4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/>
    </xf>
    <xf numFmtId="165" fontId="1" fillId="3" borderId="27" xfId="0" applyNumberFormat="1" applyFont="1" applyFill="1" applyBorder="1" applyAlignment="1">
      <alignment horizontal="center"/>
    </xf>
    <xf numFmtId="10" fontId="1" fillId="11" borderId="14" xfId="0" applyNumberFormat="1" applyFont="1" applyFill="1" applyBorder="1" applyAlignment="1" applyProtection="1">
      <alignment horizontal="center"/>
      <protection locked="0"/>
    </xf>
    <xf numFmtId="0" fontId="1" fillId="12" borderId="14" xfId="0" applyFont="1" applyFill="1" applyBorder="1"/>
    <xf numFmtId="169" fontId="1" fillId="3" borderId="28" xfId="4" applyNumberFormat="1" applyFont="1" applyFill="1" applyBorder="1" applyAlignment="1">
      <alignment horizontal="center"/>
    </xf>
    <xf numFmtId="10" fontId="1" fillId="11" borderId="9" xfId="0" applyNumberFormat="1" applyFont="1" applyFill="1" applyBorder="1" applyAlignment="1" applyProtection="1">
      <alignment horizontal="center"/>
      <protection locked="0"/>
    </xf>
    <xf numFmtId="0" fontId="1" fillId="12" borderId="9" xfId="0" applyFont="1" applyFill="1" applyBorder="1"/>
    <xf numFmtId="169" fontId="3" fillId="3" borderId="28" xfId="4" applyNumberFormat="1" applyFont="1" applyFill="1" applyBorder="1" applyAlignment="1">
      <alignment horizontal="center"/>
    </xf>
    <xf numFmtId="10" fontId="3" fillId="11" borderId="9" xfId="0" applyNumberFormat="1" applyFont="1" applyFill="1" applyBorder="1" applyAlignment="1" applyProtection="1">
      <alignment horizontal="center"/>
      <protection locked="0"/>
    </xf>
    <xf numFmtId="0" fontId="3" fillId="12" borderId="9" xfId="0" applyFont="1" applyFill="1" applyBorder="1"/>
    <xf numFmtId="10" fontId="3" fillId="0" borderId="9" xfId="0" applyNumberFormat="1" applyFont="1" applyFill="1" applyBorder="1" applyAlignment="1" applyProtection="1">
      <alignment horizontal="center"/>
      <protection locked="0"/>
    </xf>
    <xf numFmtId="10" fontId="1" fillId="0" borderId="9" xfId="0" applyNumberFormat="1" applyFont="1" applyFill="1" applyBorder="1" applyAlignment="1" applyProtection="1">
      <alignment horizontal="center"/>
      <protection locked="0"/>
    </xf>
    <xf numFmtId="10" fontId="1" fillId="0" borderId="28" xfId="6" applyNumberFormat="1" applyFont="1" applyFill="1" applyBorder="1" applyAlignment="1">
      <alignment horizontal="center"/>
    </xf>
    <xf numFmtId="165" fontId="3" fillId="3" borderId="28" xfId="0" applyNumberFormat="1" applyFont="1" applyFill="1" applyBorder="1" applyAlignment="1">
      <alignment horizontal="center"/>
    </xf>
    <xf numFmtId="165" fontId="1" fillId="3" borderId="28" xfId="0" applyNumberFormat="1" applyFont="1" applyFill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68" fontId="5" fillId="0" borderId="0" xfId="0" applyNumberFormat="1" applyFont="1"/>
    <xf numFmtId="165" fontId="3" fillId="3" borderId="29" xfId="0" applyNumberFormat="1" applyFont="1" applyFill="1" applyBorder="1" applyAlignment="1">
      <alignment horizontal="center"/>
    </xf>
    <xf numFmtId="10" fontId="3" fillId="11" borderId="8" xfId="0" applyNumberFormat="1" applyFont="1" applyFill="1" applyBorder="1" applyAlignment="1" applyProtection="1">
      <alignment horizontal="center"/>
      <protection locked="0"/>
    </xf>
    <xf numFmtId="0" fontId="3" fillId="12" borderId="8" xfId="0" applyFont="1" applyFill="1" applyBorder="1"/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5" fillId="0" borderId="0" xfId="0" applyFont="1" applyFill="1"/>
    <xf numFmtId="164" fontId="3" fillId="10" borderId="0" xfId="4" applyFont="1" applyFill="1"/>
    <xf numFmtId="165" fontId="3" fillId="0" borderId="0" xfId="0" applyNumberFormat="1" applyFont="1" applyBorder="1"/>
    <xf numFmtId="0" fontId="3" fillId="0" borderId="0" xfId="0" applyFont="1" applyBorder="1"/>
    <xf numFmtId="165" fontId="3" fillId="0" borderId="0" xfId="5" applyNumberFormat="1" applyFont="1" applyBorder="1" applyAlignment="1">
      <alignment horizontal="center"/>
    </xf>
    <xf numFmtId="0" fontId="3" fillId="0" borderId="0" xfId="5" applyNumberFormat="1" applyFont="1" applyBorder="1" applyAlignment="1">
      <alignment horizontal="center" vertical="center"/>
    </xf>
    <xf numFmtId="165" fontId="1" fillId="0" borderId="18" xfId="5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170" fontId="0" fillId="0" borderId="0" xfId="0" applyNumberFormat="1"/>
    <xf numFmtId="169" fontId="1" fillId="3" borderId="9" xfId="4" applyNumberFormat="1" applyFont="1" applyFill="1" applyBorder="1" applyAlignment="1">
      <alignment horizontal="center" vertical="center"/>
    </xf>
    <xf numFmtId="169" fontId="1" fillId="0" borderId="9" xfId="4" applyNumberFormat="1" applyFont="1" applyFill="1" applyBorder="1" applyAlignment="1" applyProtection="1">
      <alignment horizontal="center" vertical="center"/>
      <protection locked="0"/>
    </xf>
    <xf numFmtId="0" fontId="1" fillId="0" borderId="9" xfId="5" applyNumberFormat="1" applyFont="1" applyFill="1" applyBorder="1" applyAlignment="1" applyProtection="1">
      <alignment horizontal="center" vertical="center"/>
      <protection locked="0"/>
    </xf>
    <xf numFmtId="2" fontId="0" fillId="9" borderId="9" xfId="0" applyNumberFormat="1" applyFill="1" applyBorder="1"/>
    <xf numFmtId="0" fontId="0" fillId="9" borderId="9" xfId="0" applyFill="1" applyBorder="1"/>
    <xf numFmtId="2" fontId="1" fillId="9" borderId="9" xfId="4" applyNumberFormat="1" applyFont="1" applyFill="1" applyBorder="1" applyAlignment="1" applyProtection="1">
      <alignment horizontal="right" wrapText="1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169" fontId="1" fillId="3" borderId="13" xfId="4" applyNumberFormat="1" applyFont="1" applyFill="1" applyBorder="1" applyAlignment="1">
      <alignment horizontal="center" vertical="center"/>
    </xf>
    <xf numFmtId="169" fontId="1" fillId="9" borderId="13" xfId="4" applyNumberFormat="1" applyFont="1" applyFill="1" applyBorder="1" applyAlignment="1" applyProtection="1">
      <alignment horizontal="center" vertical="center"/>
      <protection locked="0"/>
    </xf>
    <xf numFmtId="169" fontId="1" fillId="0" borderId="13" xfId="4" applyNumberFormat="1" applyFont="1" applyFill="1" applyBorder="1" applyAlignment="1" applyProtection="1">
      <alignment horizontal="center" vertical="center"/>
      <protection locked="0"/>
    </xf>
    <xf numFmtId="0" fontId="1" fillId="0" borderId="8" xfId="5" applyNumberFormat="1" applyFont="1" applyFill="1" applyBorder="1" applyAlignment="1" applyProtection="1">
      <alignment horizontal="center" vertical="center"/>
      <protection locked="0"/>
    </xf>
    <xf numFmtId="2" fontId="1" fillId="9" borderId="13" xfId="4" applyNumberFormat="1" applyFont="1" applyFill="1" applyBorder="1" applyAlignment="1" applyProtection="1">
      <alignment horizontal="center" wrapText="1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11" fontId="15" fillId="0" borderId="8" xfId="0" applyNumberFormat="1" applyFont="1" applyFill="1" applyBorder="1" applyAlignment="1" applyProtection="1">
      <alignment vertical="center"/>
      <protection locked="0"/>
    </xf>
    <xf numFmtId="169" fontId="1" fillId="3" borderId="30" xfId="4" applyNumberFormat="1" applyFont="1" applyFill="1" applyBorder="1" applyAlignment="1">
      <alignment horizontal="center" vertical="center"/>
    </xf>
    <xf numFmtId="169" fontId="1" fillId="0" borderId="31" xfId="4" applyNumberFormat="1" applyFont="1" applyFill="1" applyBorder="1" applyAlignment="1" applyProtection="1">
      <alignment horizontal="center" vertical="center"/>
      <protection locked="0"/>
    </xf>
    <xf numFmtId="0" fontId="1" fillId="0" borderId="32" xfId="5" applyNumberFormat="1" applyFont="1" applyFill="1" applyBorder="1" applyAlignment="1" applyProtection="1">
      <alignment horizontal="center" vertical="center"/>
      <protection locked="0"/>
    </xf>
    <xf numFmtId="0" fontId="0" fillId="9" borderId="31" xfId="0" applyFill="1" applyBorder="1"/>
    <xf numFmtId="169" fontId="1" fillId="3" borderId="33" xfId="4" applyNumberFormat="1" applyFont="1" applyFill="1" applyBorder="1" applyAlignment="1">
      <alignment horizontal="center" vertical="center"/>
    </xf>
    <xf numFmtId="169" fontId="1" fillId="9" borderId="34" xfId="4" applyNumberFormat="1" applyFont="1" applyFill="1" applyBorder="1" applyAlignment="1" applyProtection="1">
      <alignment horizontal="center" vertical="center"/>
      <protection locked="0"/>
    </xf>
    <xf numFmtId="169" fontId="1" fillId="0" borderId="34" xfId="4" applyNumberFormat="1" applyFont="1" applyFill="1" applyBorder="1" applyAlignment="1" applyProtection="1">
      <alignment horizontal="center" vertical="center"/>
      <protection locked="0"/>
    </xf>
    <xf numFmtId="0" fontId="1" fillId="0" borderId="34" xfId="5" applyNumberFormat="1" applyFont="1" applyFill="1" applyBorder="1" applyAlignment="1" applyProtection="1">
      <alignment horizontal="center" vertical="center"/>
      <protection locked="0"/>
    </xf>
    <xf numFmtId="0" fontId="0" fillId="9" borderId="34" xfId="0" applyFill="1" applyBorder="1"/>
    <xf numFmtId="2" fontId="0" fillId="9" borderId="34" xfId="0" applyNumberFormat="1" applyFill="1" applyBorder="1"/>
    <xf numFmtId="167" fontId="1" fillId="0" borderId="0" xfId="6" applyNumberFormat="1" applyFont="1"/>
    <xf numFmtId="165" fontId="3" fillId="3" borderId="35" xfId="5" applyNumberFormat="1" applyFont="1" applyFill="1" applyBorder="1" applyAlignment="1">
      <alignment horizontal="center" vertical="center"/>
    </xf>
    <xf numFmtId="0" fontId="1" fillId="0" borderId="36" xfId="5" applyNumberFormat="1" applyFont="1" applyFill="1" applyBorder="1" applyAlignment="1" applyProtection="1">
      <alignment horizontal="center" vertical="center"/>
      <protection locked="0"/>
    </xf>
    <xf numFmtId="165" fontId="1" fillId="0" borderId="36" xfId="5" applyNumberFormat="1" applyFont="1" applyFill="1" applyBorder="1" applyAlignment="1" applyProtection="1">
      <alignment horizontal="center" wrapText="1"/>
      <protection locked="0"/>
    </xf>
    <xf numFmtId="0" fontId="3" fillId="0" borderId="37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Fill="1"/>
    <xf numFmtId="0" fontId="3" fillId="5" borderId="0" xfId="0" applyFont="1" applyFill="1" applyAlignment="1">
      <alignment horizontal="left"/>
    </xf>
    <xf numFmtId="0" fontId="16" fillId="5" borderId="0" xfId="0" applyFont="1" applyFill="1" applyAlignment="1">
      <alignment horizontal="left"/>
    </xf>
    <xf numFmtId="0" fontId="17" fillId="5" borderId="0" xfId="0" applyFont="1" applyFill="1" applyAlignment="1">
      <alignment horizontal="left" vertical="center"/>
    </xf>
    <xf numFmtId="0" fontId="3" fillId="0" borderId="8" xfId="0" applyFont="1" applyFill="1" applyBorder="1" applyAlignment="1" applyProtection="1">
      <alignment horizontal="center"/>
      <protection locked="0"/>
    </xf>
    <xf numFmtId="165" fontId="1" fillId="0" borderId="8" xfId="5" applyNumberFormat="1" applyFont="1" applyFill="1" applyBorder="1" applyAlignment="1" applyProtection="1">
      <alignment horizontal="center" wrapText="1"/>
      <protection locked="0"/>
    </xf>
    <xf numFmtId="165" fontId="3" fillId="3" borderId="8" xfId="5" applyNumberFormat="1" applyFont="1" applyFill="1" applyBorder="1" applyAlignment="1">
      <alignment horizontal="center" vertical="center"/>
    </xf>
    <xf numFmtId="0" fontId="0" fillId="9" borderId="14" xfId="0" applyFill="1" applyBorder="1"/>
    <xf numFmtId="0" fontId="1" fillId="0" borderId="14" xfId="5" applyNumberFormat="1" applyFont="1" applyFill="1" applyBorder="1" applyAlignment="1" applyProtection="1">
      <alignment horizontal="center" vertical="center"/>
      <protection locked="0"/>
    </xf>
    <xf numFmtId="169" fontId="1" fillId="0" borderId="14" xfId="4" applyNumberFormat="1" applyFont="1" applyFill="1" applyBorder="1" applyAlignment="1" applyProtection="1">
      <alignment horizontal="center" vertical="center"/>
      <protection locked="0"/>
    </xf>
    <xf numFmtId="169" fontId="1" fillId="3" borderId="14" xfId="4" applyNumberFormat="1" applyFont="1" applyFill="1" applyBorder="1" applyAlignment="1">
      <alignment horizontal="center" vertical="center"/>
    </xf>
    <xf numFmtId="0" fontId="1" fillId="0" borderId="13" xfId="5" applyNumberFormat="1" applyFont="1" applyFill="1" applyBorder="1" applyAlignment="1" applyProtection="1">
      <alignment horizontal="center" vertical="center"/>
      <protection locked="0"/>
    </xf>
    <xf numFmtId="9" fontId="1" fillId="0" borderId="0" xfId="0" applyNumberFormat="1" applyFont="1"/>
    <xf numFmtId="164" fontId="3" fillId="3" borderId="4" xfId="4" applyFont="1" applyFill="1" applyBorder="1" applyAlignment="1">
      <alignment vertical="center"/>
    </xf>
    <xf numFmtId="164" fontId="0" fillId="0" borderId="0" xfId="0" applyNumberFormat="1"/>
    <xf numFmtId="44" fontId="0" fillId="0" borderId="0" xfId="0" applyNumberFormat="1"/>
    <xf numFmtId="0" fontId="10" fillId="6" borderId="2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8" fontId="3" fillId="5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169" fontId="3" fillId="5" borderId="5" xfId="4" applyNumberFormat="1" applyFont="1" applyFill="1" applyBorder="1" applyAlignment="1">
      <alignment horizontal="center" vertical="center"/>
    </xf>
    <xf numFmtId="169" fontId="3" fillId="5" borderId="7" xfId="4" applyNumberFormat="1" applyFont="1" applyFill="1" applyBorder="1" applyAlignment="1">
      <alignment horizontal="center" vertical="center"/>
    </xf>
    <xf numFmtId="169" fontId="3" fillId="13" borderId="0" xfId="4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</cellXfs>
  <cellStyles count="7">
    <cellStyle name="Moeda" xfId="4" builtinId="4"/>
    <cellStyle name="Normal" xfId="0" builtinId="0"/>
    <cellStyle name="Normal 2" xfId="1"/>
    <cellStyle name="Porcentagem" xfId="6" builtinId="5"/>
    <cellStyle name="Porcentagem 2" xfId="2"/>
    <cellStyle name="Vírgula" xfId="5" builtinId="3"/>
    <cellStyle name="Vírgula 2" xfId="3"/>
  </cellStyles>
  <dxfs count="0"/>
  <tableStyles count="0" defaultTableStyle="TableStyleMedium2" defaultPivotStyle="PivotStyleLight16"/>
  <colors>
    <mruColors>
      <color rgb="FFC0E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390526</xdr:colOff>
      <xdr:row>2</xdr:row>
      <xdr:rowOff>9525</xdr:rowOff>
    </xdr:from>
    <xdr:to>
      <xdr:col>5</xdr:col>
      <xdr:colOff>0</xdr:colOff>
      <xdr:row>5</xdr:row>
      <xdr:rowOff>89985</xdr:rowOff>
    </xdr:to>
    <xdr:pic>
      <xdr:nvPicPr>
        <xdr:cNvPr id="2" name="Imagem 1" descr="MARCA_corporati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1" y="419100"/>
          <a:ext cx="3076575" cy="65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266699</xdr:colOff>
      <xdr:row>0</xdr:row>
      <xdr:rowOff>180975</xdr:rowOff>
    </xdr:from>
    <xdr:to>
      <xdr:col>8</xdr:col>
      <xdr:colOff>447674</xdr:colOff>
      <xdr:row>1</xdr:row>
      <xdr:rowOff>257175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10549" y="180975"/>
          <a:ext cx="10953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390526</xdr:colOff>
      <xdr:row>2</xdr:row>
      <xdr:rowOff>9525</xdr:rowOff>
    </xdr:from>
    <xdr:to>
      <xdr:col>5</xdr:col>
      <xdr:colOff>76201</xdr:colOff>
      <xdr:row>5</xdr:row>
      <xdr:rowOff>89985</xdr:rowOff>
    </xdr:to>
    <xdr:pic>
      <xdr:nvPicPr>
        <xdr:cNvPr id="2" name="Imagem 1" descr="MARCA_corporati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1" y="419100"/>
          <a:ext cx="3076575" cy="65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390526</xdr:colOff>
      <xdr:row>2</xdr:row>
      <xdr:rowOff>9525</xdr:rowOff>
    </xdr:from>
    <xdr:to>
      <xdr:col>5</xdr:col>
      <xdr:colOff>76201</xdr:colOff>
      <xdr:row>5</xdr:row>
      <xdr:rowOff>89985</xdr:rowOff>
    </xdr:to>
    <xdr:pic>
      <xdr:nvPicPr>
        <xdr:cNvPr id="3" name="Imagem 2" descr="MARCA_corporati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1" y="419100"/>
          <a:ext cx="3076575" cy="65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266699</xdr:colOff>
      <xdr:row>0</xdr:row>
      <xdr:rowOff>180975</xdr:rowOff>
    </xdr:from>
    <xdr:to>
      <xdr:col>8</xdr:col>
      <xdr:colOff>561974</xdr:colOff>
      <xdr:row>1</xdr:row>
      <xdr:rowOff>257175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10549" y="180975"/>
          <a:ext cx="12096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showGridLines="0" tabSelected="1" view="pageBreakPreview" topLeftCell="A155" zoomScaleNormal="100" zoomScaleSheetLayoutView="100" workbookViewId="0">
      <selection activeCell="G170" sqref="G170"/>
    </sheetView>
  </sheetViews>
  <sheetFormatPr defaultRowHeight="15" x14ac:dyDescent="0.25"/>
  <cols>
    <col min="1" max="1" width="50.42578125" customWidth="1"/>
    <col min="2" max="2" width="13.140625" customWidth="1"/>
    <col min="3" max="3" width="24.28515625" customWidth="1"/>
    <col min="4" max="4" width="12" customWidth="1"/>
    <col min="5" max="5" width="18.140625" customWidth="1"/>
    <col min="7" max="7" width="13.28515625" bestFit="1" customWidth="1"/>
    <col min="8" max="8" width="15.85546875" bestFit="1" customWidth="1"/>
  </cols>
  <sheetData>
    <row r="1" spans="1:5" ht="7.5" customHeight="1" thickBot="1" x14ac:dyDescent="0.3"/>
    <row r="2" spans="1:5" ht="24.75" customHeight="1" thickBot="1" x14ac:dyDescent="0.3">
      <c r="A2" s="252" t="s">
        <v>64</v>
      </c>
      <c r="B2" s="253"/>
      <c r="C2" s="253"/>
      <c r="D2" s="253"/>
      <c r="E2" s="254"/>
    </row>
    <row r="4" spans="1:5" x14ac:dyDescent="0.25">
      <c r="A4" s="49" t="s">
        <v>0</v>
      </c>
      <c r="B4" s="47" t="s">
        <v>1</v>
      </c>
      <c r="C4" s="47"/>
      <c r="D4" s="47"/>
      <c r="E4" s="47"/>
    </row>
    <row r="5" spans="1:5" x14ac:dyDescent="0.25">
      <c r="A5" s="2"/>
      <c r="B5" s="2"/>
      <c r="C5" s="2"/>
      <c r="D5" s="2"/>
      <c r="E5" s="2"/>
    </row>
    <row r="6" spans="1:5" x14ac:dyDescent="0.25">
      <c r="A6" s="6" t="s">
        <v>2</v>
      </c>
      <c r="B6" s="2"/>
      <c r="C6" s="2"/>
      <c r="D6" s="2"/>
      <c r="E6" s="2"/>
    </row>
    <row r="7" spans="1:5" ht="38.25" x14ac:dyDescent="0.25">
      <c r="A7" s="33" t="s">
        <v>3</v>
      </c>
      <c r="B7" s="33" t="s">
        <v>4</v>
      </c>
      <c r="C7" s="33" t="s">
        <v>5</v>
      </c>
      <c r="D7" s="33" t="s">
        <v>6</v>
      </c>
      <c r="E7" s="33" t="s">
        <v>7</v>
      </c>
    </row>
    <row r="8" spans="1:5" x14ac:dyDescent="0.25">
      <c r="A8" s="83" t="s">
        <v>100</v>
      </c>
      <c r="B8" s="84">
        <v>20</v>
      </c>
      <c r="C8" s="36">
        <v>912.57157894736849</v>
      </c>
      <c r="D8" s="37">
        <v>1</v>
      </c>
      <c r="E8" s="57">
        <v>14077.8</v>
      </c>
    </row>
    <row r="9" spans="1:5" x14ac:dyDescent="0.25">
      <c r="A9" s="83" t="s">
        <v>99</v>
      </c>
      <c r="B9" s="84">
        <f>45+20</f>
        <v>65</v>
      </c>
      <c r="C9" s="36">
        <v>466.82456140350877</v>
      </c>
      <c r="D9" s="37">
        <v>0.5</v>
      </c>
      <c r="E9" s="57">
        <v>4345</v>
      </c>
    </row>
    <row r="10" spans="1:5" x14ac:dyDescent="0.25">
      <c r="A10" s="34" t="s">
        <v>66</v>
      </c>
      <c r="B10" s="84">
        <v>20</v>
      </c>
      <c r="C10" s="36">
        <v>987.8058666666667</v>
      </c>
      <c r="D10" s="37">
        <v>0.5</v>
      </c>
      <c r="E10" s="57">
        <v>5784.0640000000003</v>
      </c>
    </row>
    <row r="11" spans="1:5" x14ac:dyDescent="0.25">
      <c r="A11" s="34" t="s">
        <v>67</v>
      </c>
      <c r="B11" s="84">
        <v>20</v>
      </c>
      <c r="C11" s="36">
        <v>601.85926666666649</v>
      </c>
      <c r="D11" s="37">
        <v>1</v>
      </c>
      <c r="E11" s="57">
        <v>7796.0479999999989</v>
      </c>
    </row>
    <row r="12" spans="1:5" x14ac:dyDescent="0.25">
      <c r="A12" s="34" t="s">
        <v>86</v>
      </c>
      <c r="B12" s="84">
        <v>20</v>
      </c>
      <c r="C12" s="36">
        <v>553.05986666666661</v>
      </c>
      <c r="D12" s="37">
        <v>2</v>
      </c>
      <c r="E12" s="57">
        <v>13309.504000000001</v>
      </c>
    </row>
    <row r="13" spans="1:5" x14ac:dyDescent="0.25">
      <c r="A13" s="34" t="s">
        <v>68</v>
      </c>
      <c r="B13" s="84">
        <v>20</v>
      </c>
      <c r="C13" s="36">
        <v>315.63201666666669</v>
      </c>
      <c r="D13" s="37">
        <v>14</v>
      </c>
      <c r="E13" s="57">
        <v>54751.144</v>
      </c>
    </row>
    <row r="14" spans="1:5" x14ac:dyDescent="0.25">
      <c r="A14" s="34" t="s">
        <v>69</v>
      </c>
      <c r="B14" s="84">
        <v>20</v>
      </c>
      <c r="C14" s="36">
        <v>295.92456666666669</v>
      </c>
      <c r="D14" s="37">
        <v>2</v>
      </c>
      <c r="E14" s="57">
        <v>7121.4880000000012</v>
      </c>
    </row>
    <row r="15" spans="1:5" x14ac:dyDescent="0.25">
      <c r="A15" s="34" t="s">
        <v>70</v>
      </c>
      <c r="B15" s="84">
        <v>20</v>
      </c>
      <c r="C15" s="36">
        <v>164.85438333333332</v>
      </c>
      <c r="D15" s="37">
        <v>16</v>
      </c>
      <c r="E15" s="57">
        <v>34327.68</v>
      </c>
    </row>
    <row r="16" spans="1:5" x14ac:dyDescent="0.25">
      <c r="A16" s="83" t="s">
        <v>108</v>
      </c>
      <c r="B16" s="84">
        <v>20</v>
      </c>
      <c r="C16" s="36">
        <v>295.92456666666669</v>
      </c>
      <c r="D16" s="37">
        <v>1</v>
      </c>
      <c r="E16" s="57">
        <v>3183.3440000000005</v>
      </c>
    </row>
    <row r="17" spans="1:5" x14ac:dyDescent="0.25">
      <c r="A17" s="34" t="s">
        <v>71</v>
      </c>
      <c r="B17" s="84">
        <v>20</v>
      </c>
      <c r="C17" s="36">
        <v>295.92456666666669</v>
      </c>
      <c r="D17" s="37">
        <v>2</v>
      </c>
      <c r="E17" s="57">
        <v>7121.4880000000012</v>
      </c>
    </row>
    <row r="18" spans="1:5" x14ac:dyDescent="0.25">
      <c r="A18" s="34"/>
      <c r="B18" s="35"/>
      <c r="C18" s="36"/>
      <c r="D18" s="37"/>
      <c r="E18" s="57"/>
    </row>
    <row r="19" spans="1:5" x14ac:dyDescent="0.25">
      <c r="A19" s="34"/>
      <c r="B19" s="35"/>
      <c r="C19" s="36"/>
      <c r="D19" s="37"/>
      <c r="E19" s="57">
        <f t="shared" ref="E19:E23" si="0">C19*B19*D19</f>
        <v>0</v>
      </c>
    </row>
    <row r="20" spans="1:5" x14ac:dyDescent="0.25">
      <c r="A20" s="34"/>
      <c r="B20" s="35"/>
      <c r="C20" s="36"/>
      <c r="D20" s="37"/>
      <c r="E20" s="57">
        <f t="shared" si="0"/>
        <v>0</v>
      </c>
    </row>
    <row r="21" spans="1:5" x14ac:dyDescent="0.25">
      <c r="A21" s="34"/>
      <c r="B21" s="35"/>
      <c r="C21" s="36"/>
      <c r="D21" s="37"/>
      <c r="E21" s="57">
        <f t="shared" si="0"/>
        <v>0</v>
      </c>
    </row>
    <row r="22" spans="1:5" x14ac:dyDescent="0.25">
      <c r="A22" s="34"/>
      <c r="B22" s="35"/>
      <c r="C22" s="36"/>
      <c r="D22" s="37"/>
      <c r="E22" s="57">
        <f t="shared" si="0"/>
        <v>0</v>
      </c>
    </row>
    <row r="23" spans="1:5" x14ac:dyDescent="0.25">
      <c r="A23" s="34"/>
      <c r="B23" s="35"/>
      <c r="C23" s="36"/>
      <c r="D23" s="111"/>
      <c r="E23" s="112">
        <f t="shared" si="0"/>
        <v>0</v>
      </c>
    </row>
    <row r="24" spans="1:5" x14ac:dyDescent="0.25">
      <c r="A24" s="25" t="s">
        <v>8</v>
      </c>
      <c r="B24" s="23"/>
      <c r="C24" s="24"/>
      <c r="D24" s="26"/>
      <c r="E24" s="58">
        <f>SUM(E8:E23)</f>
        <v>151817.56000000003</v>
      </c>
    </row>
    <row r="25" spans="1:5" x14ac:dyDescent="0.25">
      <c r="A25" s="54" t="s">
        <v>9</v>
      </c>
      <c r="B25" s="55"/>
      <c r="C25" s="55"/>
      <c r="D25" s="56"/>
      <c r="E25" s="59">
        <f>E24*30%</f>
        <v>45545.268000000004</v>
      </c>
    </row>
    <row r="26" spans="1:5" x14ac:dyDescent="0.25">
      <c r="A26" s="20"/>
      <c r="B26" s="3"/>
      <c r="C26" s="22"/>
      <c r="D26" s="21"/>
      <c r="E26" s="21"/>
    </row>
    <row r="27" spans="1:5" x14ac:dyDescent="0.25">
      <c r="A27" s="2"/>
      <c r="B27" s="2"/>
      <c r="C27" s="73"/>
      <c r="D27" s="73" t="s">
        <v>10</v>
      </c>
      <c r="E27" s="74">
        <f>E24+E25</f>
        <v>197362.82800000004</v>
      </c>
    </row>
    <row r="28" spans="1:5" x14ac:dyDescent="0.25">
      <c r="A28" s="2"/>
      <c r="B28" s="2"/>
      <c r="C28" s="2"/>
      <c r="D28" s="2"/>
      <c r="E28" s="2"/>
    </row>
    <row r="29" spans="1:5" x14ac:dyDescent="0.25">
      <c r="A29" s="6" t="s">
        <v>11</v>
      </c>
      <c r="B29" s="2"/>
      <c r="C29" s="2"/>
      <c r="D29" s="2"/>
    </row>
    <row r="30" spans="1:5" x14ac:dyDescent="0.25">
      <c r="A30" s="42" t="s">
        <v>12</v>
      </c>
      <c r="B30" s="42" t="s">
        <v>13</v>
      </c>
      <c r="C30" s="42" t="s">
        <v>14</v>
      </c>
      <c r="D30" s="8"/>
    </row>
    <row r="31" spans="1:5" x14ac:dyDescent="0.25">
      <c r="A31" s="66"/>
      <c r="B31" s="66"/>
      <c r="C31" s="66"/>
      <c r="D31" s="1"/>
    </row>
    <row r="32" spans="1:5" x14ac:dyDescent="0.25">
      <c r="A32" s="67" t="s">
        <v>15</v>
      </c>
      <c r="B32" s="68">
        <v>0.85</v>
      </c>
      <c r="C32" s="70">
        <f>E27*B32</f>
        <v>167758.40380000003</v>
      </c>
      <c r="D32" s="9"/>
      <c r="E32" s="2"/>
    </row>
    <row r="33" spans="1:5" x14ac:dyDescent="0.25">
      <c r="A33" s="2"/>
      <c r="B33" s="8"/>
      <c r="C33" s="2"/>
      <c r="D33" s="2"/>
      <c r="E33" s="2"/>
    </row>
    <row r="34" spans="1:5" x14ac:dyDescent="0.25">
      <c r="A34" s="10"/>
      <c r="B34" s="2"/>
      <c r="C34" s="75"/>
      <c r="D34" s="76" t="s">
        <v>16</v>
      </c>
      <c r="E34" s="77">
        <f>E27+C32</f>
        <v>365121.23180000007</v>
      </c>
    </row>
    <row r="35" spans="1:5" x14ac:dyDescent="0.25">
      <c r="A35" s="31" t="s">
        <v>17</v>
      </c>
      <c r="B35" s="2"/>
      <c r="C35" s="2"/>
      <c r="D35" s="2"/>
      <c r="E35" s="2"/>
    </row>
    <row r="36" spans="1:5" ht="25.5" x14ac:dyDescent="0.25">
      <c r="A36" s="33" t="s">
        <v>18</v>
      </c>
      <c r="B36" s="44" t="s">
        <v>19</v>
      </c>
      <c r="C36" s="44" t="s">
        <v>20</v>
      </c>
      <c r="D36" s="69" t="s">
        <v>21</v>
      </c>
      <c r="E36" s="2"/>
    </row>
    <row r="37" spans="1:5" x14ac:dyDescent="0.25">
      <c r="A37" s="95" t="s">
        <v>88</v>
      </c>
      <c r="B37" s="90">
        <v>1</v>
      </c>
      <c r="C37" s="87">
        <f>1400*1.2</f>
        <v>1680</v>
      </c>
      <c r="D37" s="94">
        <f>C37*B37</f>
        <v>1680</v>
      </c>
      <c r="E37" s="96"/>
    </row>
    <row r="38" spans="1:5" x14ac:dyDescent="0.25">
      <c r="A38" s="95" t="s">
        <v>76</v>
      </c>
      <c r="B38" s="90">
        <v>2</v>
      </c>
      <c r="C38" s="87">
        <f>1000*1.2</f>
        <v>1200</v>
      </c>
      <c r="D38" s="94">
        <f t="shared" ref="D38:D46" si="1">C38*B38</f>
        <v>2400</v>
      </c>
      <c r="E38" s="96"/>
    </row>
    <row r="39" spans="1:5" x14ac:dyDescent="0.25">
      <c r="A39" s="95" t="s">
        <v>89</v>
      </c>
      <c r="B39" s="90">
        <v>10</v>
      </c>
      <c r="C39" s="87">
        <v>600</v>
      </c>
      <c r="D39" s="94">
        <f t="shared" si="1"/>
        <v>6000</v>
      </c>
      <c r="E39" s="96"/>
    </row>
    <row r="40" spans="1:5" x14ac:dyDescent="0.25">
      <c r="A40" s="95" t="s">
        <v>90</v>
      </c>
      <c r="B40" s="90">
        <v>1</v>
      </c>
      <c r="C40" s="87">
        <f>110*1.2</f>
        <v>132</v>
      </c>
      <c r="D40" s="94">
        <f t="shared" si="1"/>
        <v>132</v>
      </c>
      <c r="E40" s="96"/>
    </row>
    <row r="41" spans="1:5" x14ac:dyDescent="0.25">
      <c r="A41" s="95" t="s">
        <v>91</v>
      </c>
      <c r="B41" s="90">
        <v>1</v>
      </c>
      <c r="C41" s="87">
        <f>110*1.2</f>
        <v>132</v>
      </c>
      <c r="D41" s="94">
        <f t="shared" si="1"/>
        <v>132</v>
      </c>
      <c r="E41" s="96"/>
    </row>
    <row r="42" spans="1:5" x14ac:dyDescent="0.25">
      <c r="A42" s="95" t="s">
        <v>92</v>
      </c>
      <c r="B42" s="90">
        <v>6</v>
      </c>
      <c r="C42" s="87">
        <f>250*1.2</f>
        <v>300</v>
      </c>
      <c r="D42" s="94">
        <f t="shared" si="1"/>
        <v>1800</v>
      </c>
      <c r="E42" s="96"/>
    </row>
    <row r="43" spans="1:5" x14ac:dyDescent="0.25">
      <c r="A43" s="95" t="s">
        <v>93</v>
      </c>
      <c r="B43" s="90">
        <v>1</v>
      </c>
      <c r="C43" s="87">
        <v>10000</v>
      </c>
      <c r="D43" s="94">
        <f t="shared" si="1"/>
        <v>10000</v>
      </c>
      <c r="E43" s="96"/>
    </row>
    <row r="44" spans="1:5" x14ac:dyDescent="0.25">
      <c r="A44" s="95" t="s">
        <v>94</v>
      </c>
      <c r="B44" s="90" t="s">
        <v>101</v>
      </c>
      <c r="C44" s="87">
        <v>11000</v>
      </c>
      <c r="D44" s="94">
        <f>C44</f>
        <v>11000</v>
      </c>
      <c r="E44" s="96"/>
    </row>
    <row r="45" spans="1:5" x14ac:dyDescent="0.25">
      <c r="A45" s="95" t="s">
        <v>95</v>
      </c>
      <c r="B45" s="90">
        <v>1</v>
      </c>
      <c r="C45" s="87">
        <v>800</v>
      </c>
      <c r="D45" s="94">
        <f t="shared" si="1"/>
        <v>800</v>
      </c>
      <c r="E45" s="96"/>
    </row>
    <row r="46" spans="1:5" x14ac:dyDescent="0.25">
      <c r="A46" s="95" t="s">
        <v>102</v>
      </c>
      <c r="B46" s="90">
        <v>1</v>
      </c>
      <c r="C46" s="87">
        <v>480</v>
      </c>
      <c r="D46" s="94">
        <f t="shared" si="1"/>
        <v>480</v>
      </c>
      <c r="E46" s="96"/>
    </row>
    <row r="47" spans="1:5" x14ac:dyDescent="0.25">
      <c r="A47" s="95" t="s">
        <v>103</v>
      </c>
      <c r="B47" s="90">
        <v>1</v>
      </c>
      <c r="C47" s="87">
        <v>900</v>
      </c>
      <c r="D47" s="94">
        <f>C47*B47</f>
        <v>900</v>
      </c>
      <c r="E47" s="2"/>
    </row>
    <row r="48" spans="1:5" x14ac:dyDescent="0.25">
      <c r="A48" s="95" t="s">
        <v>104</v>
      </c>
      <c r="B48" s="90">
        <v>1</v>
      </c>
      <c r="C48" s="87">
        <v>900</v>
      </c>
      <c r="D48" s="94">
        <f>C48*B48</f>
        <v>900</v>
      </c>
      <c r="E48" s="2"/>
    </row>
    <row r="49" spans="1:5" x14ac:dyDescent="0.25">
      <c r="A49" s="95" t="s">
        <v>98</v>
      </c>
      <c r="B49" s="40">
        <v>1</v>
      </c>
      <c r="C49" s="41">
        <f>200*1.2</f>
        <v>240</v>
      </c>
      <c r="D49" s="61">
        <f>C49*B49</f>
        <v>240</v>
      </c>
      <c r="E49" s="2"/>
    </row>
    <row r="50" spans="1:5" x14ac:dyDescent="0.25">
      <c r="A50" s="121" t="s">
        <v>81</v>
      </c>
      <c r="B50" s="116">
        <v>1</v>
      </c>
      <c r="C50" s="41">
        <v>70000</v>
      </c>
      <c r="D50" s="117">
        <f>C50*B50</f>
        <v>70000</v>
      </c>
    </row>
    <row r="51" spans="1:5" x14ac:dyDescent="0.25">
      <c r="A51" s="5"/>
      <c r="B51" s="2"/>
      <c r="C51" s="113" t="s">
        <v>22</v>
      </c>
      <c r="D51" s="114">
        <f>SUM(D37:D50)</f>
        <v>106464</v>
      </c>
    </row>
    <row r="52" spans="1:5" x14ac:dyDescent="0.25">
      <c r="A52" s="31" t="s">
        <v>23</v>
      </c>
      <c r="B52" s="2"/>
      <c r="C52" s="2"/>
      <c r="D52" s="2"/>
    </row>
    <row r="53" spans="1:5" ht="25.5" x14ac:dyDescent="0.25">
      <c r="A53" s="42" t="s">
        <v>18</v>
      </c>
      <c r="B53" s="43" t="s">
        <v>19</v>
      </c>
      <c r="C53" s="38" t="s">
        <v>20</v>
      </c>
      <c r="D53" s="69" t="s">
        <v>21</v>
      </c>
    </row>
    <row r="54" spans="1:5" x14ac:dyDescent="0.25">
      <c r="A54" s="85" t="s">
        <v>24</v>
      </c>
      <c r="B54" s="86" t="s">
        <v>77</v>
      </c>
      <c r="C54" s="87">
        <v>4500</v>
      </c>
      <c r="D54" s="88">
        <f>C54</f>
        <v>4500</v>
      </c>
    </row>
    <row r="55" spans="1:5" x14ac:dyDescent="0.25">
      <c r="A55" s="89" t="s">
        <v>25</v>
      </c>
      <c r="B55" s="90" t="s">
        <v>77</v>
      </c>
      <c r="C55" s="87">
        <f>28*200</f>
        <v>5600</v>
      </c>
      <c r="D55" s="91">
        <f>C55</f>
        <v>5600</v>
      </c>
    </row>
    <row r="56" spans="1:5" x14ac:dyDescent="0.25">
      <c r="A56" s="92" t="s">
        <v>87</v>
      </c>
      <c r="B56" s="93" t="s">
        <v>77</v>
      </c>
      <c r="C56" s="87">
        <v>8000</v>
      </c>
      <c r="D56" s="94">
        <f>C56</f>
        <v>8000</v>
      </c>
    </row>
    <row r="57" spans="1:5" x14ac:dyDescent="0.25">
      <c r="A57" s="89" t="s">
        <v>122</v>
      </c>
      <c r="B57" s="93" t="s">
        <v>77</v>
      </c>
      <c r="C57" s="87">
        <v>6500</v>
      </c>
      <c r="D57" s="94">
        <f>C57</f>
        <v>6500</v>
      </c>
    </row>
    <row r="58" spans="1:5" x14ac:dyDescent="0.25">
      <c r="A58" s="115" t="s">
        <v>105</v>
      </c>
      <c r="B58" s="116" t="s">
        <v>77</v>
      </c>
      <c r="C58" s="41">
        <v>60000</v>
      </c>
      <c r="D58" s="94">
        <f>C58</f>
        <v>60000</v>
      </c>
    </row>
    <row r="59" spans="1:5" x14ac:dyDescent="0.25">
      <c r="A59" s="5"/>
      <c r="B59" s="2"/>
      <c r="C59" s="113" t="s">
        <v>26</v>
      </c>
      <c r="D59" s="114">
        <f>SUM(D54:D58)</f>
        <v>84600</v>
      </c>
    </row>
    <row r="60" spans="1:5" x14ac:dyDescent="0.25">
      <c r="A60" s="6" t="s">
        <v>27</v>
      </c>
      <c r="B60" s="2"/>
      <c r="C60" s="2"/>
      <c r="D60" s="2"/>
    </row>
    <row r="61" spans="1:5" ht="25.5" x14ac:dyDescent="0.25">
      <c r="A61" s="33" t="s">
        <v>18</v>
      </c>
      <c r="B61" s="33" t="s">
        <v>28</v>
      </c>
      <c r="C61" s="33" t="s">
        <v>29</v>
      </c>
      <c r="D61" s="69" t="s">
        <v>21</v>
      </c>
    </row>
    <row r="62" spans="1:5" x14ac:dyDescent="0.25">
      <c r="A62" s="97" t="s">
        <v>30</v>
      </c>
      <c r="B62" s="98">
        <v>40</v>
      </c>
      <c r="C62" s="87">
        <v>450</v>
      </c>
      <c r="D62" s="99">
        <f>C62*B62+(500*2)</f>
        <v>19000</v>
      </c>
      <c r="E62" s="1"/>
    </row>
    <row r="63" spans="1:5" x14ac:dyDescent="0.25">
      <c r="A63" s="97" t="s">
        <v>72</v>
      </c>
      <c r="B63" s="98">
        <v>40</v>
      </c>
      <c r="C63" s="87">
        <v>250</v>
      </c>
      <c r="D63" s="99">
        <f t="shared" ref="D63:D67" si="2">C63*B63</f>
        <v>10000</v>
      </c>
      <c r="E63" s="1"/>
    </row>
    <row r="64" spans="1:5" x14ac:dyDescent="0.25">
      <c r="A64" s="97" t="s">
        <v>73</v>
      </c>
      <c r="B64" s="98">
        <v>40</v>
      </c>
      <c r="C64" s="87">
        <f>40.1*1.2</f>
        <v>48.12</v>
      </c>
      <c r="D64" s="99">
        <f t="shared" si="2"/>
        <v>1924.8</v>
      </c>
      <c r="E64" s="1"/>
    </row>
    <row r="65" spans="1:5" x14ac:dyDescent="0.25">
      <c r="A65" s="97" t="s">
        <v>96</v>
      </c>
      <c r="B65" s="98" t="s">
        <v>77</v>
      </c>
      <c r="C65" s="87">
        <f>40*2*100</f>
        <v>8000</v>
      </c>
      <c r="D65" s="99">
        <f t="shared" ref="D65" si="3">C65</f>
        <v>8000</v>
      </c>
      <c r="E65" s="1"/>
    </row>
    <row r="66" spans="1:5" x14ac:dyDescent="0.25">
      <c r="A66" s="97" t="s">
        <v>97</v>
      </c>
      <c r="B66" s="98" t="s">
        <v>77</v>
      </c>
      <c r="C66" s="87">
        <f>(0.6*40*470)+(0.4*40*235)</f>
        <v>15040</v>
      </c>
      <c r="D66" s="99">
        <f>C66</f>
        <v>15040</v>
      </c>
      <c r="E66" s="1"/>
    </row>
    <row r="67" spans="1:5" x14ac:dyDescent="0.25">
      <c r="A67" s="97" t="s">
        <v>74</v>
      </c>
      <c r="B67" s="98">
        <v>40</v>
      </c>
      <c r="C67" s="87">
        <v>485.23</v>
      </c>
      <c r="D67" s="99">
        <f t="shared" si="2"/>
        <v>19409.2</v>
      </c>
      <c r="E67" s="1"/>
    </row>
    <row r="68" spans="1:5" x14ac:dyDescent="0.25">
      <c r="A68" s="97" t="s">
        <v>75</v>
      </c>
      <c r="B68" s="98" t="s">
        <v>77</v>
      </c>
      <c r="C68" s="87">
        <f>40*2*20*5.5</f>
        <v>8800</v>
      </c>
      <c r="D68" s="99">
        <f t="shared" ref="D68" si="4">C68</f>
        <v>8800</v>
      </c>
      <c r="E68" s="1"/>
    </row>
    <row r="69" spans="1:5" x14ac:dyDescent="0.25">
      <c r="A69" s="118" t="s">
        <v>123</v>
      </c>
      <c r="B69" s="98" t="s">
        <v>77</v>
      </c>
      <c r="C69" s="87">
        <v>9141.16</v>
      </c>
      <c r="D69" s="99">
        <f>C69</f>
        <v>9141.16</v>
      </c>
      <c r="E69" s="1"/>
    </row>
    <row r="70" spans="1:5" x14ac:dyDescent="0.25">
      <c r="A70" s="118" t="s">
        <v>106</v>
      </c>
      <c r="B70" s="98" t="s">
        <v>77</v>
      </c>
      <c r="C70" s="87">
        <v>10668.407136</v>
      </c>
      <c r="D70" s="99">
        <f>C70</f>
        <v>10668.407136</v>
      </c>
      <c r="E70" s="1"/>
    </row>
    <row r="71" spans="1:5" x14ac:dyDescent="0.25">
      <c r="A71" s="118" t="s">
        <v>110</v>
      </c>
      <c r="B71" s="98" t="s">
        <v>77</v>
      </c>
      <c r="C71" s="87">
        <f>50*14*24</f>
        <v>16800</v>
      </c>
      <c r="D71" s="99">
        <f>C71</f>
        <v>16800</v>
      </c>
      <c r="E71" s="1"/>
    </row>
    <row r="72" spans="1:5" x14ac:dyDescent="0.25">
      <c r="A72" s="118" t="s">
        <v>111</v>
      </c>
      <c r="B72" s="98" t="s">
        <v>77</v>
      </c>
      <c r="C72" s="87">
        <f>(14*700)-102</f>
        <v>9698</v>
      </c>
      <c r="D72" s="99">
        <f>C72</f>
        <v>9698</v>
      </c>
      <c r="E72" s="1"/>
    </row>
    <row r="73" spans="1:5" x14ac:dyDescent="0.25">
      <c r="A73" s="1"/>
      <c r="B73" s="51" t="s">
        <v>31</v>
      </c>
      <c r="C73" s="52"/>
      <c r="D73" s="60">
        <f>SUM(D62:D72)</f>
        <v>128481.567136</v>
      </c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79" t="s">
        <v>32</v>
      </c>
      <c r="C75" s="80"/>
      <c r="D75" s="81"/>
      <c r="E75" s="82">
        <f>E34+D51+D59+D73</f>
        <v>684666.79893600009</v>
      </c>
    </row>
    <row r="76" spans="1:5" x14ac:dyDescent="0.25">
      <c r="A76" s="49" t="s">
        <v>33</v>
      </c>
      <c r="B76" s="50"/>
      <c r="C76" s="50"/>
      <c r="D76" s="50"/>
      <c r="E76" s="50"/>
    </row>
    <row r="77" spans="1:5" x14ac:dyDescent="0.25">
      <c r="A77" s="2"/>
      <c r="B77" s="2"/>
      <c r="C77" s="2"/>
      <c r="D77" s="2"/>
      <c r="E77" s="2"/>
    </row>
    <row r="78" spans="1:5" ht="38.25" x14ac:dyDescent="0.25">
      <c r="A78" s="44" t="s">
        <v>18</v>
      </c>
      <c r="B78" s="44" t="s">
        <v>34</v>
      </c>
      <c r="C78" s="44" t="s">
        <v>35</v>
      </c>
      <c r="D78" s="69" t="s">
        <v>21</v>
      </c>
      <c r="E78" s="2"/>
    </row>
    <row r="79" spans="1:5" x14ac:dyDescent="0.25">
      <c r="A79" s="97" t="s">
        <v>82</v>
      </c>
      <c r="B79" s="100">
        <v>0.08</v>
      </c>
      <c r="C79" s="101">
        <f>B79*E75</f>
        <v>54773.34391488001</v>
      </c>
      <c r="D79" s="101">
        <f>C79</f>
        <v>54773.34391488001</v>
      </c>
      <c r="E79" s="96"/>
    </row>
    <row r="80" spans="1:5" x14ac:dyDescent="0.25">
      <c r="A80" s="97" t="s">
        <v>83</v>
      </c>
      <c r="B80" s="102">
        <v>0.01</v>
      </c>
      <c r="C80" s="103">
        <f>B80*E75</f>
        <v>6846.6679893600012</v>
      </c>
      <c r="D80" s="103">
        <f>C80</f>
        <v>6846.6679893600012</v>
      </c>
      <c r="E80" s="96"/>
    </row>
    <row r="81" spans="1:5" x14ac:dyDescent="0.25">
      <c r="A81" s="104" t="s">
        <v>84</v>
      </c>
      <c r="B81" s="105">
        <v>0.08</v>
      </c>
      <c r="C81" s="106">
        <f>B81*E75</f>
        <v>54773.34391488001</v>
      </c>
      <c r="D81" s="103">
        <f>C81</f>
        <v>54773.34391488001</v>
      </c>
      <c r="E81" s="96"/>
    </row>
    <row r="82" spans="1:5" x14ac:dyDescent="0.25">
      <c r="A82" s="107"/>
      <c r="B82" s="108"/>
      <c r="C82" s="109">
        <v>0</v>
      </c>
      <c r="D82" s="109">
        <v>0</v>
      </c>
      <c r="E82" s="96"/>
    </row>
    <row r="83" spans="1:5" x14ac:dyDescent="0.25">
      <c r="A83" s="15"/>
      <c r="B83" s="15"/>
      <c r="C83" s="53" t="s">
        <v>36</v>
      </c>
      <c r="D83" s="60">
        <f>SUM(D79:D82)</f>
        <v>116393.35581912001</v>
      </c>
      <c r="E83" s="2"/>
    </row>
    <row r="84" spans="1:5" x14ac:dyDescent="0.25">
      <c r="A84" s="2"/>
      <c r="B84" s="2"/>
      <c r="C84" s="2"/>
      <c r="D84" s="2"/>
      <c r="E84" s="2"/>
    </row>
    <row r="85" spans="1:5" x14ac:dyDescent="0.25">
      <c r="A85" s="49" t="s">
        <v>37</v>
      </c>
      <c r="B85" s="50"/>
      <c r="C85" s="50"/>
      <c r="D85" s="50"/>
      <c r="E85" s="50"/>
    </row>
    <row r="86" spans="1:5" x14ac:dyDescent="0.25">
      <c r="A86" s="2"/>
      <c r="B86" s="2"/>
      <c r="C86" s="2"/>
      <c r="D86" s="2"/>
      <c r="E86" s="2"/>
    </row>
    <row r="87" spans="1:5" ht="25.5" x14ac:dyDescent="0.25">
      <c r="A87" s="44" t="s">
        <v>18</v>
      </c>
      <c r="B87" s="44" t="s">
        <v>38</v>
      </c>
      <c r="C87" s="44" t="s">
        <v>35</v>
      </c>
      <c r="D87" s="69" t="s">
        <v>21</v>
      </c>
      <c r="E87" s="2"/>
    </row>
    <row r="88" spans="1:5" x14ac:dyDescent="0.25">
      <c r="A88" s="119" t="s">
        <v>85</v>
      </c>
      <c r="B88" s="100">
        <v>7.6799999999999993E-2</v>
      </c>
      <c r="C88" s="101">
        <f>B88*E75</f>
        <v>52582.410158284802</v>
      </c>
      <c r="D88" s="101">
        <f>C88</f>
        <v>52582.410158284802</v>
      </c>
      <c r="E88" s="2"/>
    </row>
    <row r="89" spans="1:5" x14ac:dyDescent="0.25">
      <c r="A89" s="11"/>
      <c r="B89" s="39"/>
      <c r="C89" s="62">
        <v>0</v>
      </c>
      <c r="D89" s="62">
        <v>0</v>
      </c>
      <c r="E89" s="2"/>
    </row>
    <row r="90" spans="1:5" x14ac:dyDescent="0.25">
      <c r="A90" s="72"/>
      <c r="B90" s="46"/>
      <c r="C90" s="63">
        <v>0</v>
      </c>
      <c r="D90" s="63">
        <v>0</v>
      </c>
      <c r="E90" s="2"/>
    </row>
    <row r="91" spans="1:5" x14ac:dyDescent="0.25">
      <c r="A91" s="15"/>
      <c r="B91" s="51" t="s">
        <v>39</v>
      </c>
      <c r="C91" s="52"/>
      <c r="D91" s="60">
        <f>SUM(D88:D90)</f>
        <v>52582.410158284802</v>
      </c>
      <c r="E91" s="2"/>
    </row>
    <row r="92" spans="1:5" x14ac:dyDescent="0.25">
      <c r="A92" s="2"/>
      <c r="B92" s="2"/>
      <c r="C92" s="2"/>
      <c r="D92" s="2"/>
      <c r="E92" s="2"/>
    </row>
    <row r="93" spans="1:5" x14ac:dyDescent="0.25">
      <c r="A93" s="49" t="s">
        <v>40</v>
      </c>
      <c r="B93" s="50"/>
      <c r="C93" s="50"/>
      <c r="D93" s="50"/>
      <c r="E93" s="50"/>
    </row>
    <row r="94" spans="1:5" x14ac:dyDescent="0.25">
      <c r="A94" s="2"/>
      <c r="B94" s="2"/>
      <c r="C94" s="2"/>
      <c r="D94" s="2"/>
      <c r="E94" s="2"/>
    </row>
    <row r="95" spans="1:5" x14ac:dyDescent="0.25">
      <c r="A95" s="12" t="s">
        <v>41</v>
      </c>
      <c r="B95" s="13"/>
      <c r="C95" s="13"/>
      <c r="D95" s="14"/>
      <c r="E95" s="64">
        <f>E75+D83+D91</f>
        <v>853642.56491340499</v>
      </c>
    </row>
    <row r="96" spans="1:5" x14ac:dyDescent="0.25">
      <c r="A96" s="2"/>
      <c r="B96" s="2"/>
      <c r="C96" s="2"/>
      <c r="D96" s="2"/>
      <c r="E96" s="2"/>
    </row>
    <row r="97" spans="1:6" x14ac:dyDescent="0.25">
      <c r="A97" s="49" t="s">
        <v>42</v>
      </c>
      <c r="B97" s="50"/>
      <c r="C97" s="50"/>
      <c r="D97" s="50"/>
      <c r="E97" s="71"/>
    </row>
    <row r="98" spans="1:6" x14ac:dyDescent="0.25">
      <c r="A98" s="2"/>
      <c r="B98" s="2"/>
      <c r="C98" s="2"/>
      <c r="D98" s="2"/>
      <c r="E98" s="2"/>
    </row>
    <row r="99" spans="1:6" x14ac:dyDescent="0.25">
      <c r="A99" s="44" t="s">
        <v>18</v>
      </c>
      <c r="B99" s="44" t="s">
        <v>38</v>
      </c>
      <c r="C99" s="2"/>
      <c r="D99" s="2"/>
      <c r="E99" s="2"/>
    </row>
    <row r="100" spans="1:6" x14ac:dyDescent="0.25">
      <c r="A100" s="18" t="s">
        <v>43</v>
      </c>
      <c r="B100" s="100">
        <v>0.05</v>
      </c>
      <c r="C100" s="2"/>
      <c r="D100" s="2"/>
      <c r="E100" s="2"/>
    </row>
    <row r="101" spans="1:6" x14ac:dyDescent="0.25">
      <c r="A101" s="19" t="s">
        <v>44</v>
      </c>
      <c r="B101" s="102">
        <v>6.4999999999999997E-3</v>
      </c>
      <c r="C101" s="2"/>
      <c r="D101" s="2"/>
      <c r="E101" s="2"/>
    </row>
    <row r="102" spans="1:6" x14ac:dyDescent="0.25">
      <c r="A102" s="4" t="s">
        <v>45</v>
      </c>
      <c r="B102" s="110">
        <v>0.03</v>
      </c>
      <c r="C102" s="2"/>
      <c r="D102" s="2"/>
      <c r="E102" s="2"/>
    </row>
    <row r="103" spans="1:6" x14ac:dyDescent="0.25">
      <c r="A103" s="2"/>
      <c r="B103" s="16"/>
      <c r="C103" s="2"/>
      <c r="D103" s="2"/>
      <c r="E103" s="2"/>
    </row>
    <row r="104" spans="1:6" ht="27.75" customHeight="1" x14ac:dyDescent="0.25">
      <c r="A104" s="17" t="s">
        <v>46</v>
      </c>
      <c r="B104" s="65">
        <f>SUM(B100:B102)</f>
        <v>8.6499999999999994E-2</v>
      </c>
      <c r="C104" s="2"/>
      <c r="D104" s="2"/>
      <c r="E104" s="2"/>
    </row>
    <row r="105" spans="1:6" x14ac:dyDescent="0.25">
      <c r="A105" s="2"/>
      <c r="B105" s="2"/>
      <c r="C105" s="2"/>
      <c r="D105" s="2"/>
      <c r="E105" s="2"/>
    </row>
    <row r="106" spans="1:6" x14ac:dyDescent="0.25">
      <c r="A106" s="49" t="s">
        <v>47</v>
      </c>
      <c r="B106" s="50"/>
      <c r="C106" s="50"/>
      <c r="D106" s="50"/>
      <c r="E106" s="120">
        <f>E95*1.0865</f>
        <v>927482.64677841449</v>
      </c>
    </row>
    <row r="107" spans="1:6" ht="10.5" customHeight="1" x14ac:dyDescent="0.25">
      <c r="A107" s="122"/>
      <c r="B107" s="123"/>
      <c r="C107" s="123"/>
      <c r="D107" s="123"/>
      <c r="E107" s="134"/>
    </row>
    <row r="108" spans="1:6" x14ac:dyDescent="0.25">
      <c r="A108" s="49" t="s">
        <v>112</v>
      </c>
      <c r="B108" s="50"/>
      <c r="C108" s="50"/>
      <c r="D108" s="50"/>
      <c r="E108" s="50"/>
    </row>
    <row r="109" spans="1:6" x14ac:dyDescent="0.25">
      <c r="A109" s="122"/>
      <c r="B109" s="123"/>
      <c r="C109" s="123"/>
      <c r="D109" s="123"/>
      <c r="E109" s="123"/>
      <c r="F109" s="124"/>
    </row>
    <row r="110" spans="1:6" ht="25.5" x14ac:dyDescent="0.25">
      <c r="A110" s="44" t="s">
        <v>18</v>
      </c>
      <c r="B110" s="44" t="s">
        <v>28</v>
      </c>
      <c r="C110" s="44" t="s">
        <v>29</v>
      </c>
      <c r="D110" s="69" t="s">
        <v>21</v>
      </c>
      <c r="E110" s="125"/>
    </row>
    <row r="111" spans="1:6" ht="15.75" x14ac:dyDescent="0.25">
      <c r="A111" s="126" t="s">
        <v>113</v>
      </c>
      <c r="B111" s="98" t="s">
        <v>77</v>
      </c>
      <c r="C111" s="87"/>
      <c r="D111" s="103">
        <f>C111</f>
        <v>0</v>
      </c>
      <c r="E111" s="125"/>
    </row>
    <row r="112" spans="1:6" ht="15.75" x14ac:dyDescent="0.25">
      <c r="A112" s="118"/>
      <c r="B112" s="98"/>
      <c r="C112" s="87"/>
      <c r="D112" s="99">
        <f>C112</f>
        <v>0</v>
      </c>
      <c r="E112" s="125"/>
    </row>
    <row r="113" spans="1:5" ht="15.75" x14ac:dyDescent="0.25">
      <c r="A113" s="118"/>
      <c r="B113" s="98"/>
      <c r="C113" s="87"/>
      <c r="D113" s="99"/>
      <c r="E113" s="125"/>
    </row>
    <row r="114" spans="1:5" x14ac:dyDescent="0.25">
      <c r="B114" s="96"/>
      <c r="C114" s="96"/>
      <c r="D114" s="127">
        <f>SUM(D111:D113)</f>
        <v>0</v>
      </c>
      <c r="E114" s="96"/>
    </row>
    <row r="115" spans="1:5" x14ac:dyDescent="0.25">
      <c r="A115" s="49" t="s">
        <v>114</v>
      </c>
      <c r="B115" s="50"/>
      <c r="C115" s="50"/>
      <c r="D115" s="50"/>
      <c r="E115" s="50"/>
    </row>
    <row r="116" spans="1:5" x14ac:dyDescent="0.25">
      <c r="A116" s="96"/>
      <c r="B116" s="96"/>
      <c r="C116" s="96"/>
      <c r="D116" s="96"/>
      <c r="E116" s="96"/>
    </row>
    <row r="117" spans="1:5" ht="38.25" x14ac:dyDescent="0.25">
      <c r="A117" s="44" t="s">
        <v>18</v>
      </c>
      <c r="B117" s="44" t="s">
        <v>34</v>
      </c>
      <c r="C117" s="44" t="s">
        <v>35</v>
      </c>
      <c r="D117" s="69" t="s">
        <v>21</v>
      </c>
      <c r="E117" s="96"/>
    </row>
    <row r="118" spans="1:5" x14ac:dyDescent="0.25">
      <c r="A118" s="97" t="s">
        <v>82</v>
      </c>
      <c r="B118" s="100">
        <v>0.08</v>
      </c>
      <c r="C118" s="101">
        <f>B118*D114</f>
        <v>0</v>
      </c>
      <c r="D118" s="101">
        <f>C118</f>
        <v>0</v>
      </c>
      <c r="E118" s="96"/>
    </row>
    <row r="119" spans="1:5" x14ac:dyDescent="0.25">
      <c r="A119" s="97" t="s">
        <v>83</v>
      </c>
      <c r="B119" s="102">
        <v>0.01</v>
      </c>
      <c r="C119" s="103">
        <f>B119*D114</f>
        <v>0</v>
      </c>
      <c r="D119" s="103">
        <f>C119</f>
        <v>0</v>
      </c>
      <c r="E119" s="96"/>
    </row>
    <row r="120" spans="1:5" x14ac:dyDescent="0.25">
      <c r="A120" s="107"/>
      <c r="B120" s="108"/>
      <c r="C120" s="109">
        <v>0</v>
      </c>
      <c r="D120" s="109">
        <v>0</v>
      </c>
      <c r="E120" s="96"/>
    </row>
    <row r="121" spans="1:5" x14ac:dyDescent="0.25">
      <c r="A121" s="15"/>
      <c r="B121" s="15"/>
      <c r="C121" s="53" t="s">
        <v>36</v>
      </c>
      <c r="D121" s="60">
        <f>SUM(D118:D120)</f>
        <v>0</v>
      </c>
      <c r="E121" s="96"/>
    </row>
    <row r="122" spans="1:5" x14ac:dyDescent="0.25">
      <c r="A122" s="96"/>
      <c r="B122" s="96"/>
      <c r="C122" s="96"/>
      <c r="D122" s="96"/>
      <c r="E122" s="96"/>
    </row>
    <row r="123" spans="1:5" x14ac:dyDescent="0.25">
      <c r="A123" s="49" t="s">
        <v>115</v>
      </c>
      <c r="B123" s="50"/>
      <c r="C123" s="50"/>
      <c r="D123" s="50"/>
      <c r="E123" s="50"/>
    </row>
    <row r="124" spans="1:5" x14ac:dyDescent="0.25">
      <c r="A124" s="96"/>
      <c r="B124" s="96"/>
      <c r="C124" s="96"/>
      <c r="D124" s="96"/>
      <c r="E124" s="96"/>
    </row>
    <row r="125" spans="1:5" ht="25.5" x14ac:dyDescent="0.25">
      <c r="A125" s="44" t="s">
        <v>18</v>
      </c>
      <c r="B125" s="44" t="s">
        <v>38</v>
      </c>
      <c r="C125" s="44" t="s">
        <v>35</v>
      </c>
      <c r="D125" s="69" t="s">
        <v>21</v>
      </c>
      <c r="E125" s="96"/>
    </row>
    <row r="126" spans="1:5" x14ac:dyDescent="0.25">
      <c r="A126" s="119" t="s">
        <v>85</v>
      </c>
      <c r="B126" s="100">
        <v>7.6799999999999993E-2</v>
      </c>
      <c r="C126" s="101">
        <f>B126*(D114+D121)</f>
        <v>0</v>
      </c>
      <c r="D126" s="101">
        <f>C126</f>
        <v>0</v>
      </c>
      <c r="E126" s="96"/>
    </row>
    <row r="127" spans="1:5" x14ac:dyDescent="0.25">
      <c r="A127" s="97"/>
      <c r="B127" s="102"/>
      <c r="C127" s="103">
        <v>0</v>
      </c>
      <c r="D127" s="103">
        <v>0</v>
      </c>
      <c r="E127" s="96"/>
    </row>
    <row r="128" spans="1:5" x14ac:dyDescent="0.25">
      <c r="A128" s="135"/>
      <c r="B128" s="110"/>
      <c r="C128" s="136">
        <v>0</v>
      </c>
      <c r="D128" s="136">
        <v>0</v>
      </c>
      <c r="E128" s="96"/>
    </row>
    <row r="129" spans="1:6" x14ac:dyDescent="0.25">
      <c r="A129" s="15"/>
      <c r="B129" s="51" t="s">
        <v>39</v>
      </c>
      <c r="C129" s="137"/>
      <c r="D129" s="60">
        <f>SUM(D126:D128)</f>
        <v>0</v>
      </c>
      <c r="E129" s="96"/>
    </row>
    <row r="130" spans="1:6" x14ac:dyDescent="0.25">
      <c r="A130" s="96"/>
      <c r="B130" s="96"/>
      <c r="C130" s="96"/>
      <c r="D130" s="96"/>
      <c r="E130" s="96"/>
    </row>
    <row r="131" spans="1:6" x14ac:dyDescent="0.25">
      <c r="A131" s="49" t="s">
        <v>116</v>
      </c>
      <c r="B131" s="50"/>
      <c r="C131" s="50"/>
      <c r="D131" s="50"/>
      <c r="E131" s="71"/>
    </row>
    <row r="132" spans="1:6" x14ac:dyDescent="0.25">
      <c r="A132" s="96"/>
      <c r="B132" s="96"/>
      <c r="C132" s="96"/>
      <c r="D132" s="96"/>
      <c r="E132" s="96"/>
    </row>
    <row r="133" spans="1:6" x14ac:dyDescent="0.25">
      <c r="A133" s="44" t="s">
        <v>18</v>
      </c>
      <c r="B133" s="44" t="s">
        <v>38</v>
      </c>
      <c r="C133" s="96"/>
      <c r="D133" s="96"/>
      <c r="E133" s="96"/>
    </row>
    <row r="134" spans="1:6" x14ac:dyDescent="0.25">
      <c r="A134" s="128" t="s">
        <v>43</v>
      </c>
      <c r="B134" s="100">
        <v>0.05</v>
      </c>
      <c r="C134" s="96"/>
      <c r="D134" s="96"/>
      <c r="E134" s="96"/>
    </row>
    <row r="135" spans="1:6" x14ac:dyDescent="0.25">
      <c r="A135" s="92" t="s">
        <v>44</v>
      </c>
      <c r="B135" s="102">
        <v>6.4999999999999997E-3</v>
      </c>
      <c r="C135" s="96"/>
      <c r="D135" s="96"/>
      <c r="E135" s="129"/>
    </row>
    <row r="136" spans="1:6" x14ac:dyDescent="0.25">
      <c r="A136" s="138" t="s">
        <v>45</v>
      </c>
      <c r="B136" s="110">
        <v>0.03</v>
      </c>
      <c r="C136" s="96"/>
      <c r="D136" s="96"/>
      <c r="E136" s="96"/>
    </row>
    <row r="137" spans="1:6" x14ac:dyDescent="0.25">
      <c r="A137" s="96"/>
      <c r="B137" s="130"/>
      <c r="C137" s="96"/>
      <c r="D137" s="96"/>
      <c r="E137" s="96"/>
    </row>
    <row r="138" spans="1:6" ht="27.75" customHeight="1" x14ac:dyDescent="0.25">
      <c r="A138" s="17" t="s">
        <v>46</v>
      </c>
      <c r="B138" s="65">
        <f>SUM(B134:B136)</f>
        <v>8.6499999999999994E-2</v>
      </c>
      <c r="C138" s="96"/>
      <c r="D138" s="96"/>
      <c r="E138" s="131"/>
    </row>
    <row r="139" spans="1:6" x14ac:dyDescent="0.25">
      <c r="A139" s="96"/>
      <c r="B139" s="96"/>
      <c r="C139" s="96"/>
      <c r="D139" s="96"/>
      <c r="E139" s="96"/>
    </row>
    <row r="140" spans="1:6" x14ac:dyDescent="0.25">
      <c r="A140" s="49" t="s">
        <v>117</v>
      </c>
      <c r="B140" s="50"/>
      <c r="C140" s="50"/>
      <c r="D140" s="50"/>
      <c r="E140" s="120">
        <f>(D114+D121+D129)*1.0865</f>
        <v>0</v>
      </c>
    </row>
    <row r="141" spans="1:6" x14ac:dyDescent="0.25">
      <c r="A141" s="78"/>
      <c r="B141" s="96"/>
      <c r="C141" s="96"/>
      <c r="D141" s="96"/>
      <c r="E141" s="96"/>
    </row>
    <row r="142" spans="1:6" x14ac:dyDescent="0.25">
      <c r="A142" s="49" t="s">
        <v>118</v>
      </c>
      <c r="B142" s="50"/>
      <c r="C142" s="50"/>
      <c r="D142" s="50"/>
      <c r="E142" s="50"/>
    </row>
    <row r="143" spans="1:6" x14ac:dyDescent="0.25">
      <c r="A143" s="122"/>
      <c r="B143" s="123"/>
      <c r="C143" s="123"/>
      <c r="D143" s="123"/>
      <c r="E143" s="123"/>
      <c r="F143" s="124"/>
    </row>
    <row r="144" spans="1:6" ht="25.5" x14ac:dyDescent="0.25">
      <c r="A144" s="44" t="s">
        <v>18</v>
      </c>
      <c r="B144" s="44" t="s">
        <v>28</v>
      </c>
      <c r="C144" s="44" t="s">
        <v>29</v>
      </c>
      <c r="D144" s="69" t="s">
        <v>21</v>
      </c>
      <c r="E144" s="125"/>
    </row>
    <row r="145" spans="1:5" ht="15.75" x14ac:dyDescent="0.25">
      <c r="A145" s="126" t="s">
        <v>107</v>
      </c>
      <c r="B145" s="98" t="s">
        <v>77</v>
      </c>
      <c r="C145" s="87">
        <f>E34*31.5%</f>
        <v>115013.18801700002</v>
      </c>
      <c r="D145" s="103">
        <f>C145</f>
        <v>115013.18801700002</v>
      </c>
      <c r="E145" s="125"/>
    </row>
    <row r="146" spans="1:5" ht="15.75" x14ac:dyDescent="0.25">
      <c r="A146" s="118"/>
      <c r="B146" s="98"/>
      <c r="C146" s="87"/>
      <c r="D146" s="99"/>
      <c r="E146" s="125"/>
    </row>
    <row r="147" spans="1:5" ht="15.75" x14ac:dyDescent="0.25">
      <c r="A147" s="118"/>
      <c r="B147" s="98"/>
      <c r="C147" s="87"/>
      <c r="D147" s="99"/>
      <c r="E147" s="125"/>
    </row>
    <row r="148" spans="1:5" x14ac:dyDescent="0.25">
      <c r="B148" s="96"/>
      <c r="C148" s="96"/>
      <c r="D148" s="127">
        <f>SUM(D145:D147)</f>
        <v>115013.18801700002</v>
      </c>
      <c r="E148" s="96"/>
    </row>
    <row r="149" spans="1:5" x14ac:dyDescent="0.25">
      <c r="A149" s="96"/>
      <c r="B149" s="96"/>
      <c r="C149" s="96"/>
      <c r="D149" s="96"/>
      <c r="E149" s="96"/>
    </row>
    <row r="150" spans="1:5" x14ac:dyDescent="0.25">
      <c r="A150" s="49" t="s">
        <v>119</v>
      </c>
      <c r="B150" s="50"/>
      <c r="C150" s="50"/>
      <c r="D150" s="50"/>
      <c r="E150" s="50"/>
    </row>
    <row r="151" spans="1:5" x14ac:dyDescent="0.25">
      <c r="A151" s="96"/>
      <c r="B151" s="96"/>
      <c r="C151" s="96"/>
      <c r="D151" s="96"/>
      <c r="E151" s="96"/>
    </row>
    <row r="152" spans="1:5" ht="25.5" x14ac:dyDescent="0.25">
      <c r="A152" s="44" t="s">
        <v>18</v>
      </c>
      <c r="B152" s="44" t="s">
        <v>38</v>
      </c>
      <c r="C152" s="44" t="s">
        <v>35</v>
      </c>
      <c r="D152" s="69" t="s">
        <v>21</v>
      </c>
      <c r="E152" s="96"/>
    </row>
    <row r="153" spans="1:5" x14ac:dyDescent="0.25">
      <c r="A153" s="119" t="s">
        <v>85</v>
      </c>
      <c r="B153" s="100">
        <v>7.6799999999999993E-2</v>
      </c>
      <c r="C153" s="101">
        <f>B153*D148</f>
        <v>8833.0128397056014</v>
      </c>
      <c r="D153" s="101">
        <f>C153</f>
        <v>8833.0128397056014</v>
      </c>
      <c r="E153" s="96"/>
    </row>
    <row r="154" spans="1:5" x14ac:dyDescent="0.25">
      <c r="A154" s="97"/>
      <c r="B154" s="102"/>
      <c r="C154" s="103">
        <v>0</v>
      </c>
      <c r="D154" s="103">
        <v>0</v>
      </c>
      <c r="E154" s="96"/>
    </row>
    <row r="155" spans="1:5" x14ac:dyDescent="0.25">
      <c r="A155" s="135"/>
      <c r="B155" s="110"/>
      <c r="C155" s="136">
        <v>0</v>
      </c>
      <c r="D155" s="136">
        <v>0</v>
      </c>
      <c r="E155" s="96"/>
    </row>
    <row r="156" spans="1:5" x14ac:dyDescent="0.25">
      <c r="A156" s="15"/>
      <c r="B156" s="51" t="s">
        <v>39</v>
      </c>
      <c r="C156" s="137"/>
      <c r="D156" s="60">
        <f>SUM(D153:D155)</f>
        <v>8833.0128397056014</v>
      </c>
      <c r="E156" s="96"/>
    </row>
    <row r="157" spans="1:5" x14ac:dyDescent="0.25">
      <c r="A157" s="96"/>
      <c r="B157" s="96"/>
      <c r="C157" s="96"/>
      <c r="D157" s="96"/>
      <c r="E157" s="96"/>
    </row>
    <row r="158" spans="1:5" x14ac:dyDescent="0.25">
      <c r="A158" s="49" t="s">
        <v>120</v>
      </c>
      <c r="B158" s="50"/>
      <c r="C158" s="50"/>
      <c r="D158" s="50"/>
      <c r="E158" s="71"/>
    </row>
    <row r="159" spans="1:5" x14ac:dyDescent="0.25">
      <c r="A159" s="96"/>
      <c r="B159" s="96"/>
      <c r="C159" s="96"/>
      <c r="D159" s="96"/>
      <c r="E159" s="96"/>
    </row>
    <row r="160" spans="1:5" x14ac:dyDescent="0.25">
      <c r="A160" s="44" t="s">
        <v>18</v>
      </c>
      <c r="B160" s="44" t="s">
        <v>38</v>
      </c>
      <c r="C160" s="96"/>
      <c r="D160" s="96"/>
      <c r="E160" s="96"/>
    </row>
    <row r="161" spans="1:8" x14ac:dyDescent="0.25">
      <c r="A161" s="128" t="s">
        <v>43</v>
      </c>
      <c r="B161" s="100">
        <v>0.05</v>
      </c>
      <c r="C161" s="96"/>
      <c r="D161" s="96"/>
      <c r="E161" s="96"/>
    </row>
    <row r="162" spans="1:8" x14ac:dyDescent="0.25">
      <c r="A162" s="92" t="s">
        <v>44</v>
      </c>
      <c r="B162" s="102">
        <v>6.4999999999999997E-3</v>
      </c>
      <c r="C162" s="96"/>
      <c r="D162" s="96"/>
      <c r="E162" s="129"/>
    </row>
    <row r="163" spans="1:8" x14ac:dyDescent="0.25">
      <c r="A163" s="138" t="s">
        <v>45</v>
      </c>
      <c r="B163" s="110">
        <v>0.03</v>
      </c>
      <c r="C163" s="96"/>
      <c r="D163" s="96"/>
      <c r="E163" s="96"/>
    </row>
    <row r="164" spans="1:8" x14ac:dyDescent="0.25">
      <c r="A164" s="96"/>
      <c r="B164" s="130"/>
      <c r="C164" s="96"/>
      <c r="D164" s="96"/>
      <c r="E164" s="96"/>
    </row>
    <row r="165" spans="1:8" ht="27.75" customHeight="1" x14ac:dyDescent="0.25">
      <c r="A165" s="17" t="s">
        <v>46</v>
      </c>
      <c r="B165" s="65">
        <f>SUM(B161:B163)</f>
        <v>8.6499999999999994E-2</v>
      </c>
      <c r="C165" s="96"/>
      <c r="D165" s="96"/>
      <c r="E165" s="131"/>
    </row>
    <row r="166" spans="1:8" x14ac:dyDescent="0.25">
      <c r="A166" s="96"/>
      <c r="B166" s="96"/>
      <c r="C166" s="96"/>
      <c r="D166" s="96"/>
      <c r="E166" s="96"/>
    </row>
    <row r="167" spans="1:8" x14ac:dyDescent="0.25">
      <c r="A167" s="49" t="s">
        <v>121</v>
      </c>
      <c r="B167" s="50"/>
      <c r="C167" s="50"/>
      <c r="D167" s="50"/>
      <c r="E167" s="120">
        <f>(D148+D156)*1.0865</f>
        <v>134558.89723081066</v>
      </c>
      <c r="H167" s="250">
        <f>E170</f>
        <v>1040000</v>
      </c>
    </row>
    <row r="168" spans="1:8" x14ac:dyDescent="0.25">
      <c r="A168" s="78"/>
      <c r="B168" s="96"/>
      <c r="C168" s="96"/>
      <c r="D168" s="96"/>
      <c r="E168" s="96"/>
      <c r="H168" s="249">
        <f>'DFP - refino 01'!E170</f>
        <v>767500</v>
      </c>
    </row>
    <row r="169" spans="1:8" x14ac:dyDescent="0.25">
      <c r="A169" s="45" t="s">
        <v>65</v>
      </c>
      <c r="B169" s="132"/>
      <c r="C169" s="132"/>
      <c r="D169" s="133"/>
      <c r="E169" s="139">
        <f>E167+E140+E106</f>
        <v>1062041.5440092252</v>
      </c>
    </row>
    <row r="170" spans="1:8" x14ac:dyDescent="0.25">
      <c r="A170" s="45" t="s">
        <v>167</v>
      </c>
      <c r="B170" s="132"/>
      <c r="C170" s="132"/>
      <c r="D170" s="133"/>
      <c r="E170" s="139">
        <v>1040000</v>
      </c>
    </row>
    <row r="171" spans="1:8" x14ac:dyDescent="0.25">
      <c r="A171" s="3"/>
      <c r="B171" s="2"/>
      <c r="C171" s="2"/>
      <c r="D171" s="2"/>
      <c r="E171" s="2"/>
      <c r="H171" s="251">
        <f>H167+H168</f>
        <v>1807500</v>
      </c>
    </row>
    <row r="172" spans="1:8" x14ac:dyDescent="0.25">
      <c r="A172" s="78" t="s">
        <v>48</v>
      </c>
      <c r="B172" s="2"/>
      <c r="C172" s="2"/>
      <c r="D172" s="2"/>
      <c r="E172" s="2"/>
    </row>
    <row r="173" spans="1:8" x14ac:dyDescent="0.25">
      <c r="A173" s="27" t="s">
        <v>49</v>
      </c>
      <c r="B173" s="1"/>
      <c r="C173" s="1"/>
      <c r="D173" s="1"/>
      <c r="E173" s="1"/>
    </row>
    <row r="174" spans="1:8" x14ac:dyDescent="0.25">
      <c r="A174" s="28" t="s">
        <v>50</v>
      </c>
      <c r="B174" s="2"/>
      <c r="C174" s="2"/>
      <c r="D174" s="2"/>
      <c r="E174" s="2"/>
    </row>
    <row r="175" spans="1:8" x14ac:dyDescent="0.25">
      <c r="A175" s="28" t="s">
        <v>51</v>
      </c>
      <c r="B175" s="2"/>
      <c r="C175" s="2"/>
      <c r="D175" s="2"/>
      <c r="E175" s="2"/>
    </row>
    <row r="176" spans="1:8" x14ac:dyDescent="0.25">
      <c r="A176" s="28" t="s">
        <v>52</v>
      </c>
    </row>
    <row r="177" spans="1:1" x14ac:dyDescent="0.25">
      <c r="A177" s="28" t="s">
        <v>53</v>
      </c>
    </row>
    <row r="178" spans="1:1" x14ac:dyDescent="0.25">
      <c r="A178" s="28" t="s">
        <v>54</v>
      </c>
    </row>
    <row r="179" spans="1:1" x14ac:dyDescent="0.25">
      <c r="A179" s="28" t="s">
        <v>55</v>
      </c>
    </row>
    <row r="180" spans="1:1" x14ac:dyDescent="0.25">
      <c r="A180" s="27" t="s">
        <v>56</v>
      </c>
    </row>
    <row r="181" spans="1:1" x14ac:dyDescent="0.25">
      <c r="A181" s="28" t="s">
        <v>57</v>
      </c>
    </row>
    <row r="182" spans="1:1" x14ac:dyDescent="0.25">
      <c r="A182" s="28" t="s">
        <v>58</v>
      </c>
    </row>
    <row r="183" spans="1:1" x14ac:dyDescent="0.25">
      <c r="A183" s="30">
        <v>2</v>
      </c>
    </row>
    <row r="184" spans="1:1" x14ac:dyDescent="0.25">
      <c r="A184" s="28" t="s">
        <v>59</v>
      </c>
    </row>
    <row r="185" spans="1:1" x14ac:dyDescent="0.25">
      <c r="A185" s="30">
        <v>3</v>
      </c>
    </row>
    <row r="186" spans="1:1" x14ac:dyDescent="0.25">
      <c r="A186" s="28" t="s">
        <v>60</v>
      </c>
    </row>
    <row r="187" spans="1:1" x14ac:dyDescent="0.25">
      <c r="A187" s="30">
        <v>5</v>
      </c>
    </row>
    <row r="188" spans="1:1" x14ac:dyDescent="0.25">
      <c r="A188" s="28" t="s">
        <v>61</v>
      </c>
    </row>
    <row r="189" spans="1:1" x14ac:dyDescent="0.25">
      <c r="A189" s="28"/>
    </row>
    <row r="190" spans="1:1" x14ac:dyDescent="0.25">
      <c r="A190" s="29" t="s">
        <v>62</v>
      </c>
    </row>
    <row r="191" spans="1:1" x14ac:dyDescent="0.25">
      <c r="A191" s="2"/>
    </row>
    <row r="192" spans="1:1" x14ac:dyDescent="0.25">
      <c r="A192" s="32" t="s">
        <v>63</v>
      </c>
    </row>
  </sheetData>
  <mergeCells count="1">
    <mergeCell ref="A2:E2"/>
  </mergeCells>
  <pageMargins left="0.511811024" right="0.511811024" top="0.78740157499999996" bottom="0.78740157499999996" header="0.31496062000000002" footer="0.31496062000000002"/>
  <pageSetup paperSize="9" scale="64" orientation="portrait" r:id="rId1"/>
  <rowBreaks count="2" manualBreakCount="2">
    <brk id="59" max="16383" man="1"/>
    <brk id="130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H10" sqref="H10"/>
    </sheetView>
  </sheetViews>
  <sheetFormatPr defaultColWidth="7.85546875" defaultRowHeight="15" x14ac:dyDescent="0.2"/>
  <cols>
    <col min="1" max="1" width="29.28515625" style="140" customWidth="1"/>
    <col min="2" max="2" width="14.42578125" style="140" customWidth="1"/>
    <col min="3" max="3" width="16" style="140" customWidth="1"/>
    <col min="4" max="5" width="13.7109375" style="140" customWidth="1"/>
    <col min="6" max="6" width="16.85546875" style="140" customWidth="1"/>
    <col min="7" max="7" width="15.140625" style="140" customWidth="1"/>
    <col min="8" max="8" width="13.7109375" style="140" customWidth="1"/>
    <col min="9" max="9" width="17" style="140" customWidth="1"/>
    <col min="10" max="10" width="13.140625" style="140" bestFit="1" customWidth="1"/>
    <col min="11" max="11" width="15.140625" style="140" customWidth="1"/>
    <col min="12" max="12" width="14.28515625" style="140" bestFit="1" customWidth="1"/>
    <col min="13" max="13" width="16.42578125" style="140" bestFit="1" customWidth="1"/>
    <col min="14" max="256" width="7.85546875" style="140"/>
    <col min="257" max="257" width="29.28515625" style="140" customWidth="1"/>
    <col min="258" max="258" width="14.42578125" style="140" customWidth="1"/>
    <col min="259" max="259" width="16" style="140" customWidth="1"/>
    <col min="260" max="261" width="13.7109375" style="140" customWidth="1"/>
    <col min="262" max="262" width="16.85546875" style="140" customWidth="1"/>
    <col min="263" max="263" width="15.140625" style="140" customWidth="1"/>
    <col min="264" max="264" width="13.7109375" style="140" customWidth="1"/>
    <col min="265" max="265" width="17" style="140" customWidth="1"/>
    <col min="266" max="266" width="13.140625" style="140" bestFit="1" customWidth="1"/>
    <col min="267" max="267" width="7.85546875" style="140"/>
    <col min="268" max="268" width="14.28515625" style="140" bestFit="1" customWidth="1"/>
    <col min="269" max="269" width="16.42578125" style="140" bestFit="1" customWidth="1"/>
    <col min="270" max="512" width="7.85546875" style="140"/>
    <col min="513" max="513" width="29.28515625" style="140" customWidth="1"/>
    <col min="514" max="514" width="14.42578125" style="140" customWidth="1"/>
    <col min="515" max="515" width="16" style="140" customWidth="1"/>
    <col min="516" max="517" width="13.7109375" style="140" customWidth="1"/>
    <col min="518" max="518" width="16.85546875" style="140" customWidth="1"/>
    <col min="519" max="519" width="15.140625" style="140" customWidth="1"/>
    <col min="520" max="520" width="13.7109375" style="140" customWidth="1"/>
    <col min="521" max="521" width="17" style="140" customWidth="1"/>
    <col min="522" max="522" width="13.140625" style="140" bestFit="1" customWidth="1"/>
    <col min="523" max="523" width="7.85546875" style="140"/>
    <col min="524" max="524" width="14.28515625" style="140" bestFit="1" customWidth="1"/>
    <col min="525" max="525" width="16.42578125" style="140" bestFit="1" customWidth="1"/>
    <col min="526" max="768" width="7.85546875" style="140"/>
    <col min="769" max="769" width="29.28515625" style="140" customWidth="1"/>
    <col min="770" max="770" width="14.42578125" style="140" customWidth="1"/>
    <col min="771" max="771" width="16" style="140" customWidth="1"/>
    <col min="772" max="773" width="13.7109375" style="140" customWidth="1"/>
    <col min="774" max="774" width="16.85546875" style="140" customWidth="1"/>
    <col min="775" max="775" width="15.140625" style="140" customWidth="1"/>
    <col min="776" max="776" width="13.7109375" style="140" customWidth="1"/>
    <col min="777" max="777" width="17" style="140" customWidth="1"/>
    <col min="778" max="778" width="13.140625" style="140" bestFit="1" customWidth="1"/>
    <col min="779" max="779" width="7.85546875" style="140"/>
    <col min="780" max="780" width="14.28515625" style="140" bestFit="1" customWidth="1"/>
    <col min="781" max="781" width="16.42578125" style="140" bestFit="1" customWidth="1"/>
    <col min="782" max="1024" width="7.85546875" style="140"/>
    <col min="1025" max="1025" width="29.28515625" style="140" customWidth="1"/>
    <col min="1026" max="1026" width="14.42578125" style="140" customWidth="1"/>
    <col min="1027" max="1027" width="16" style="140" customWidth="1"/>
    <col min="1028" max="1029" width="13.7109375" style="140" customWidth="1"/>
    <col min="1030" max="1030" width="16.85546875" style="140" customWidth="1"/>
    <col min="1031" max="1031" width="15.140625" style="140" customWidth="1"/>
    <col min="1032" max="1032" width="13.7109375" style="140" customWidth="1"/>
    <col min="1033" max="1033" width="17" style="140" customWidth="1"/>
    <col min="1034" max="1034" width="13.140625" style="140" bestFit="1" customWidth="1"/>
    <col min="1035" max="1035" width="7.85546875" style="140"/>
    <col min="1036" max="1036" width="14.28515625" style="140" bestFit="1" customWidth="1"/>
    <col min="1037" max="1037" width="16.42578125" style="140" bestFit="1" customWidth="1"/>
    <col min="1038" max="1280" width="7.85546875" style="140"/>
    <col min="1281" max="1281" width="29.28515625" style="140" customWidth="1"/>
    <col min="1282" max="1282" width="14.42578125" style="140" customWidth="1"/>
    <col min="1283" max="1283" width="16" style="140" customWidth="1"/>
    <col min="1284" max="1285" width="13.7109375" style="140" customWidth="1"/>
    <col min="1286" max="1286" width="16.85546875" style="140" customWidth="1"/>
    <col min="1287" max="1287" width="15.140625" style="140" customWidth="1"/>
    <col min="1288" max="1288" width="13.7109375" style="140" customWidth="1"/>
    <col min="1289" max="1289" width="17" style="140" customWidth="1"/>
    <col min="1290" max="1290" width="13.140625" style="140" bestFit="1" customWidth="1"/>
    <col min="1291" max="1291" width="7.85546875" style="140"/>
    <col min="1292" max="1292" width="14.28515625" style="140" bestFit="1" customWidth="1"/>
    <col min="1293" max="1293" width="16.42578125" style="140" bestFit="1" customWidth="1"/>
    <col min="1294" max="1536" width="7.85546875" style="140"/>
    <col min="1537" max="1537" width="29.28515625" style="140" customWidth="1"/>
    <col min="1538" max="1538" width="14.42578125" style="140" customWidth="1"/>
    <col min="1539" max="1539" width="16" style="140" customWidth="1"/>
    <col min="1540" max="1541" width="13.7109375" style="140" customWidth="1"/>
    <col min="1542" max="1542" width="16.85546875" style="140" customWidth="1"/>
    <col min="1543" max="1543" width="15.140625" style="140" customWidth="1"/>
    <col min="1544" max="1544" width="13.7109375" style="140" customWidth="1"/>
    <col min="1545" max="1545" width="17" style="140" customWidth="1"/>
    <col min="1546" max="1546" width="13.140625" style="140" bestFit="1" customWidth="1"/>
    <col min="1547" max="1547" width="7.85546875" style="140"/>
    <col min="1548" max="1548" width="14.28515625" style="140" bestFit="1" customWidth="1"/>
    <col min="1549" max="1549" width="16.42578125" style="140" bestFit="1" customWidth="1"/>
    <col min="1550" max="1792" width="7.85546875" style="140"/>
    <col min="1793" max="1793" width="29.28515625" style="140" customWidth="1"/>
    <col min="1794" max="1794" width="14.42578125" style="140" customWidth="1"/>
    <col min="1795" max="1795" width="16" style="140" customWidth="1"/>
    <col min="1796" max="1797" width="13.7109375" style="140" customWidth="1"/>
    <col min="1798" max="1798" width="16.85546875" style="140" customWidth="1"/>
    <col min="1799" max="1799" width="15.140625" style="140" customWidth="1"/>
    <col min="1800" max="1800" width="13.7109375" style="140" customWidth="1"/>
    <col min="1801" max="1801" width="17" style="140" customWidth="1"/>
    <col min="1802" max="1802" width="13.140625" style="140" bestFit="1" customWidth="1"/>
    <col min="1803" max="1803" width="7.85546875" style="140"/>
    <col min="1804" max="1804" width="14.28515625" style="140" bestFit="1" customWidth="1"/>
    <col min="1805" max="1805" width="16.42578125" style="140" bestFit="1" customWidth="1"/>
    <col min="1806" max="2048" width="7.85546875" style="140"/>
    <col min="2049" max="2049" width="29.28515625" style="140" customWidth="1"/>
    <col min="2050" max="2050" width="14.42578125" style="140" customWidth="1"/>
    <col min="2051" max="2051" width="16" style="140" customWidth="1"/>
    <col min="2052" max="2053" width="13.7109375" style="140" customWidth="1"/>
    <col min="2054" max="2054" width="16.85546875" style="140" customWidth="1"/>
    <col min="2055" max="2055" width="15.140625" style="140" customWidth="1"/>
    <col min="2056" max="2056" width="13.7109375" style="140" customWidth="1"/>
    <col min="2057" max="2057" width="17" style="140" customWidth="1"/>
    <col min="2058" max="2058" width="13.140625" style="140" bestFit="1" customWidth="1"/>
    <col min="2059" max="2059" width="7.85546875" style="140"/>
    <col min="2060" max="2060" width="14.28515625" style="140" bestFit="1" customWidth="1"/>
    <col min="2061" max="2061" width="16.42578125" style="140" bestFit="1" customWidth="1"/>
    <col min="2062" max="2304" width="7.85546875" style="140"/>
    <col min="2305" max="2305" width="29.28515625" style="140" customWidth="1"/>
    <col min="2306" max="2306" width="14.42578125" style="140" customWidth="1"/>
    <col min="2307" max="2307" width="16" style="140" customWidth="1"/>
    <col min="2308" max="2309" width="13.7109375" style="140" customWidth="1"/>
    <col min="2310" max="2310" width="16.85546875" style="140" customWidth="1"/>
    <col min="2311" max="2311" width="15.140625" style="140" customWidth="1"/>
    <col min="2312" max="2312" width="13.7109375" style="140" customWidth="1"/>
    <col min="2313" max="2313" width="17" style="140" customWidth="1"/>
    <col min="2314" max="2314" width="13.140625" style="140" bestFit="1" customWidth="1"/>
    <col min="2315" max="2315" width="7.85546875" style="140"/>
    <col min="2316" max="2316" width="14.28515625" style="140" bestFit="1" customWidth="1"/>
    <col min="2317" max="2317" width="16.42578125" style="140" bestFit="1" customWidth="1"/>
    <col min="2318" max="2560" width="7.85546875" style="140"/>
    <col min="2561" max="2561" width="29.28515625" style="140" customWidth="1"/>
    <col min="2562" max="2562" width="14.42578125" style="140" customWidth="1"/>
    <col min="2563" max="2563" width="16" style="140" customWidth="1"/>
    <col min="2564" max="2565" width="13.7109375" style="140" customWidth="1"/>
    <col min="2566" max="2566" width="16.85546875" style="140" customWidth="1"/>
    <col min="2567" max="2567" width="15.140625" style="140" customWidth="1"/>
    <col min="2568" max="2568" width="13.7109375" style="140" customWidth="1"/>
    <col min="2569" max="2569" width="17" style="140" customWidth="1"/>
    <col min="2570" max="2570" width="13.140625" style="140" bestFit="1" customWidth="1"/>
    <col min="2571" max="2571" width="7.85546875" style="140"/>
    <col min="2572" max="2572" width="14.28515625" style="140" bestFit="1" customWidth="1"/>
    <col min="2573" max="2573" width="16.42578125" style="140" bestFit="1" customWidth="1"/>
    <col min="2574" max="2816" width="7.85546875" style="140"/>
    <col min="2817" max="2817" width="29.28515625" style="140" customWidth="1"/>
    <col min="2818" max="2818" width="14.42578125" style="140" customWidth="1"/>
    <col min="2819" max="2819" width="16" style="140" customWidth="1"/>
    <col min="2820" max="2821" width="13.7109375" style="140" customWidth="1"/>
    <col min="2822" max="2822" width="16.85546875" style="140" customWidth="1"/>
    <col min="2823" max="2823" width="15.140625" style="140" customWidth="1"/>
    <col min="2824" max="2824" width="13.7109375" style="140" customWidth="1"/>
    <col min="2825" max="2825" width="17" style="140" customWidth="1"/>
    <col min="2826" max="2826" width="13.140625" style="140" bestFit="1" customWidth="1"/>
    <col min="2827" max="2827" width="7.85546875" style="140"/>
    <col min="2828" max="2828" width="14.28515625" style="140" bestFit="1" customWidth="1"/>
    <col min="2829" max="2829" width="16.42578125" style="140" bestFit="1" customWidth="1"/>
    <col min="2830" max="3072" width="7.85546875" style="140"/>
    <col min="3073" max="3073" width="29.28515625" style="140" customWidth="1"/>
    <col min="3074" max="3074" width="14.42578125" style="140" customWidth="1"/>
    <col min="3075" max="3075" width="16" style="140" customWidth="1"/>
    <col min="3076" max="3077" width="13.7109375" style="140" customWidth="1"/>
    <col min="3078" max="3078" width="16.85546875" style="140" customWidth="1"/>
    <col min="3079" max="3079" width="15.140625" style="140" customWidth="1"/>
    <col min="3080" max="3080" width="13.7109375" style="140" customWidth="1"/>
    <col min="3081" max="3081" width="17" style="140" customWidth="1"/>
    <col min="3082" max="3082" width="13.140625" style="140" bestFit="1" customWidth="1"/>
    <col min="3083" max="3083" width="7.85546875" style="140"/>
    <col min="3084" max="3084" width="14.28515625" style="140" bestFit="1" customWidth="1"/>
    <col min="3085" max="3085" width="16.42578125" style="140" bestFit="1" customWidth="1"/>
    <col min="3086" max="3328" width="7.85546875" style="140"/>
    <col min="3329" max="3329" width="29.28515625" style="140" customWidth="1"/>
    <col min="3330" max="3330" width="14.42578125" style="140" customWidth="1"/>
    <col min="3331" max="3331" width="16" style="140" customWidth="1"/>
    <col min="3332" max="3333" width="13.7109375" style="140" customWidth="1"/>
    <col min="3334" max="3334" width="16.85546875" style="140" customWidth="1"/>
    <col min="3335" max="3335" width="15.140625" style="140" customWidth="1"/>
    <col min="3336" max="3336" width="13.7109375" style="140" customWidth="1"/>
    <col min="3337" max="3337" width="17" style="140" customWidth="1"/>
    <col min="3338" max="3338" width="13.140625" style="140" bestFit="1" customWidth="1"/>
    <col min="3339" max="3339" width="7.85546875" style="140"/>
    <col min="3340" max="3340" width="14.28515625" style="140" bestFit="1" customWidth="1"/>
    <col min="3341" max="3341" width="16.42578125" style="140" bestFit="1" customWidth="1"/>
    <col min="3342" max="3584" width="7.85546875" style="140"/>
    <col min="3585" max="3585" width="29.28515625" style="140" customWidth="1"/>
    <col min="3586" max="3586" width="14.42578125" style="140" customWidth="1"/>
    <col min="3587" max="3587" width="16" style="140" customWidth="1"/>
    <col min="3588" max="3589" width="13.7109375" style="140" customWidth="1"/>
    <col min="3590" max="3590" width="16.85546875" style="140" customWidth="1"/>
    <col min="3591" max="3591" width="15.140625" style="140" customWidth="1"/>
    <col min="3592" max="3592" width="13.7109375" style="140" customWidth="1"/>
    <col min="3593" max="3593" width="17" style="140" customWidth="1"/>
    <col min="3594" max="3594" width="13.140625" style="140" bestFit="1" customWidth="1"/>
    <col min="3595" max="3595" width="7.85546875" style="140"/>
    <col min="3596" max="3596" width="14.28515625" style="140" bestFit="1" customWidth="1"/>
    <col min="3597" max="3597" width="16.42578125" style="140" bestFit="1" customWidth="1"/>
    <col min="3598" max="3840" width="7.85546875" style="140"/>
    <col min="3841" max="3841" width="29.28515625" style="140" customWidth="1"/>
    <col min="3842" max="3842" width="14.42578125" style="140" customWidth="1"/>
    <col min="3843" max="3843" width="16" style="140" customWidth="1"/>
    <col min="3844" max="3845" width="13.7109375" style="140" customWidth="1"/>
    <col min="3846" max="3846" width="16.85546875" style="140" customWidth="1"/>
    <col min="3847" max="3847" width="15.140625" style="140" customWidth="1"/>
    <col min="3848" max="3848" width="13.7109375" style="140" customWidth="1"/>
    <col min="3849" max="3849" width="17" style="140" customWidth="1"/>
    <col min="3850" max="3850" width="13.140625" style="140" bestFit="1" customWidth="1"/>
    <col min="3851" max="3851" width="7.85546875" style="140"/>
    <col min="3852" max="3852" width="14.28515625" style="140" bestFit="1" customWidth="1"/>
    <col min="3853" max="3853" width="16.42578125" style="140" bestFit="1" customWidth="1"/>
    <col min="3854" max="4096" width="7.85546875" style="140"/>
    <col min="4097" max="4097" width="29.28515625" style="140" customWidth="1"/>
    <col min="4098" max="4098" width="14.42578125" style="140" customWidth="1"/>
    <col min="4099" max="4099" width="16" style="140" customWidth="1"/>
    <col min="4100" max="4101" width="13.7109375" style="140" customWidth="1"/>
    <col min="4102" max="4102" width="16.85546875" style="140" customWidth="1"/>
    <col min="4103" max="4103" width="15.140625" style="140" customWidth="1"/>
    <col min="4104" max="4104" width="13.7109375" style="140" customWidth="1"/>
    <col min="4105" max="4105" width="17" style="140" customWidth="1"/>
    <col min="4106" max="4106" width="13.140625" style="140" bestFit="1" customWidth="1"/>
    <col min="4107" max="4107" width="7.85546875" style="140"/>
    <col min="4108" max="4108" width="14.28515625" style="140" bestFit="1" customWidth="1"/>
    <col min="4109" max="4109" width="16.42578125" style="140" bestFit="1" customWidth="1"/>
    <col min="4110" max="4352" width="7.85546875" style="140"/>
    <col min="4353" max="4353" width="29.28515625" style="140" customWidth="1"/>
    <col min="4354" max="4354" width="14.42578125" style="140" customWidth="1"/>
    <col min="4355" max="4355" width="16" style="140" customWidth="1"/>
    <col min="4356" max="4357" width="13.7109375" style="140" customWidth="1"/>
    <col min="4358" max="4358" width="16.85546875" style="140" customWidth="1"/>
    <col min="4359" max="4359" width="15.140625" style="140" customWidth="1"/>
    <col min="4360" max="4360" width="13.7109375" style="140" customWidth="1"/>
    <col min="4361" max="4361" width="17" style="140" customWidth="1"/>
    <col min="4362" max="4362" width="13.140625" style="140" bestFit="1" customWidth="1"/>
    <col min="4363" max="4363" width="7.85546875" style="140"/>
    <col min="4364" max="4364" width="14.28515625" style="140" bestFit="1" customWidth="1"/>
    <col min="4365" max="4365" width="16.42578125" style="140" bestFit="1" customWidth="1"/>
    <col min="4366" max="4608" width="7.85546875" style="140"/>
    <col min="4609" max="4609" width="29.28515625" style="140" customWidth="1"/>
    <col min="4610" max="4610" width="14.42578125" style="140" customWidth="1"/>
    <col min="4611" max="4611" width="16" style="140" customWidth="1"/>
    <col min="4612" max="4613" width="13.7109375" style="140" customWidth="1"/>
    <col min="4614" max="4614" width="16.85546875" style="140" customWidth="1"/>
    <col min="4615" max="4615" width="15.140625" style="140" customWidth="1"/>
    <col min="4616" max="4616" width="13.7109375" style="140" customWidth="1"/>
    <col min="4617" max="4617" width="17" style="140" customWidth="1"/>
    <col min="4618" max="4618" width="13.140625" style="140" bestFit="1" customWidth="1"/>
    <col min="4619" max="4619" width="7.85546875" style="140"/>
    <col min="4620" max="4620" width="14.28515625" style="140" bestFit="1" customWidth="1"/>
    <col min="4621" max="4621" width="16.42578125" style="140" bestFit="1" customWidth="1"/>
    <col min="4622" max="4864" width="7.85546875" style="140"/>
    <col min="4865" max="4865" width="29.28515625" style="140" customWidth="1"/>
    <col min="4866" max="4866" width="14.42578125" style="140" customWidth="1"/>
    <col min="4867" max="4867" width="16" style="140" customWidth="1"/>
    <col min="4868" max="4869" width="13.7109375" style="140" customWidth="1"/>
    <col min="4870" max="4870" width="16.85546875" style="140" customWidth="1"/>
    <col min="4871" max="4871" width="15.140625" style="140" customWidth="1"/>
    <col min="4872" max="4872" width="13.7109375" style="140" customWidth="1"/>
    <col min="4873" max="4873" width="17" style="140" customWidth="1"/>
    <col min="4874" max="4874" width="13.140625" style="140" bestFit="1" customWidth="1"/>
    <col min="4875" max="4875" width="7.85546875" style="140"/>
    <col min="4876" max="4876" width="14.28515625" style="140" bestFit="1" customWidth="1"/>
    <col min="4877" max="4877" width="16.42578125" style="140" bestFit="1" customWidth="1"/>
    <col min="4878" max="5120" width="7.85546875" style="140"/>
    <col min="5121" max="5121" width="29.28515625" style="140" customWidth="1"/>
    <col min="5122" max="5122" width="14.42578125" style="140" customWidth="1"/>
    <col min="5123" max="5123" width="16" style="140" customWidth="1"/>
    <col min="5124" max="5125" width="13.7109375" style="140" customWidth="1"/>
    <col min="5126" max="5126" width="16.85546875" style="140" customWidth="1"/>
    <col min="5127" max="5127" width="15.140625" style="140" customWidth="1"/>
    <col min="5128" max="5128" width="13.7109375" style="140" customWidth="1"/>
    <col min="5129" max="5129" width="17" style="140" customWidth="1"/>
    <col min="5130" max="5130" width="13.140625" style="140" bestFit="1" customWidth="1"/>
    <col min="5131" max="5131" width="7.85546875" style="140"/>
    <col min="5132" max="5132" width="14.28515625" style="140" bestFit="1" customWidth="1"/>
    <col min="5133" max="5133" width="16.42578125" style="140" bestFit="1" customWidth="1"/>
    <col min="5134" max="5376" width="7.85546875" style="140"/>
    <col min="5377" max="5377" width="29.28515625" style="140" customWidth="1"/>
    <col min="5378" max="5378" width="14.42578125" style="140" customWidth="1"/>
    <col min="5379" max="5379" width="16" style="140" customWidth="1"/>
    <col min="5380" max="5381" width="13.7109375" style="140" customWidth="1"/>
    <col min="5382" max="5382" width="16.85546875" style="140" customWidth="1"/>
    <col min="5383" max="5383" width="15.140625" style="140" customWidth="1"/>
    <col min="5384" max="5384" width="13.7109375" style="140" customWidth="1"/>
    <col min="5385" max="5385" width="17" style="140" customWidth="1"/>
    <col min="5386" max="5386" width="13.140625" style="140" bestFit="1" customWidth="1"/>
    <col min="5387" max="5387" width="7.85546875" style="140"/>
    <col min="5388" max="5388" width="14.28515625" style="140" bestFit="1" customWidth="1"/>
    <col min="5389" max="5389" width="16.42578125" style="140" bestFit="1" customWidth="1"/>
    <col min="5390" max="5632" width="7.85546875" style="140"/>
    <col min="5633" max="5633" width="29.28515625" style="140" customWidth="1"/>
    <col min="5634" max="5634" width="14.42578125" style="140" customWidth="1"/>
    <col min="5635" max="5635" width="16" style="140" customWidth="1"/>
    <col min="5636" max="5637" width="13.7109375" style="140" customWidth="1"/>
    <col min="5638" max="5638" width="16.85546875" style="140" customWidth="1"/>
    <col min="5639" max="5639" width="15.140625" style="140" customWidth="1"/>
    <col min="5640" max="5640" width="13.7109375" style="140" customWidth="1"/>
    <col min="5641" max="5641" width="17" style="140" customWidth="1"/>
    <col min="5642" max="5642" width="13.140625" style="140" bestFit="1" customWidth="1"/>
    <col min="5643" max="5643" width="7.85546875" style="140"/>
    <col min="5644" max="5644" width="14.28515625" style="140" bestFit="1" customWidth="1"/>
    <col min="5645" max="5645" width="16.42578125" style="140" bestFit="1" customWidth="1"/>
    <col min="5646" max="5888" width="7.85546875" style="140"/>
    <col min="5889" max="5889" width="29.28515625" style="140" customWidth="1"/>
    <col min="5890" max="5890" width="14.42578125" style="140" customWidth="1"/>
    <col min="5891" max="5891" width="16" style="140" customWidth="1"/>
    <col min="5892" max="5893" width="13.7109375" style="140" customWidth="1"/>
    <col min="5894" max="5894" width="16.85546875" style="140" customWidth="1"/>
    <col min="5895" max="5895" width="15.140625" style="140" customWidth="1"/>
    <col min="5896" max="5896" width="13.7109375" style="140" customWidth="1"/>
    <col min="5897" max="5897" width="17" style="140" customWidth="1"/>
    <col min="5898" max="5898" width="13.140625" style="140" bestFit="1" customWidth="1"/>
    <col min="5899" max="5899" width="7.85546875" style="140"/>
    <col min="5900" max="5900" width="14.28515625" style="140" bestFit="1" customWidth="1"/>
    <col min="5901" max="5901" width="16.42578125" style="140" bestFit="1" customWidth="1"/>
    <col min="5902" max="6144" width="7.85546875" style="140"/>
    <col min="6145" max="6145" width="29.28515625" style="140" customWidth="1"/>
    <col min="6146" max="6146" width="14.42578125" style="140" customWidth="1"/>
    <col min="6147" max="6147" width="16" style="140" customWidth="1"/>
    <col min="6148" max="6149" width="13.7109375" style="140" customWidth="1"/>
    <col min="6150" max="6150" width="16.85546875" style="140" customWidth="1"/>
    <col min="6151" max="6151" width="15.140625" style="140" customWidth="1"/>
    <col min="6152" max="6152" width="13.7109375" style="140" customWidth="1"/>
    <col min="6153" max="6153" width="17" style="140" customWidth="1"/>
    <col min="6154" max="6154" width="13.140625" style="140" bestFit="1" customWidth="1"/>
    <col min="6155" max="6155" width="7.85546875" style="140"/>
    <col min="6156" max="6156" width="14.28515625" style="140" bestFit="1" customWidth="1"/>
    <col min="6157" max="6157" width="16.42578125" style="140" bestFit="1" customWidth="1"/>
    <col min="6158" max="6400" width="7.85546875" style="140"/>
    <col min="6401" max="6401" width="29.28515625" style="140" customWidth="1"/>
    <col min="6402" max="6402" width="14.42578125" style="140" customWidth="1"/>
    <col min="6403" max="6403" width="16" style="140" customWidth="1"/>
    <col min="6404" max="6405" width="13.7109375" style="140" customWidth="1"/>
    <col min="6406" max="6406" width="16.85546875" style="140" customWidth="1"/>
    <col min="6407" max="6407" width="15.140625" style="140" customWidth="1"/>
    <col min="6408" max="6408" width="13.7109375" style="140" customWidth="1"/>
    <col min="6409" max="6409" width="17" style="140" customWidth="1"/>
    <col min="6410" max="6410" width="13.140625" style="140" bestFit="1" customWidth="1"/>
    <col min="6411" max="6411" width="7.85546875" style="140"/>
    <col min="6412" max="6412" width="14.28515625" style="140" bestFit="1" customWidth="1"/>
    <col min="6413" max="6413" width="16.42578125" style="140" bestFit="1" customWidth="1"/>
    <col min="6414" max="6656" width="7.85546875" style="140"/>
    <col min="6657" max="6657" width="29.28515625" style="140" customWidth="1"/>
    <col min="6658" max="6658" width="14.42578125" style="140" customWidth="1"/>
    <col min="6659" max="6659" width="16" style="140" customWidth="1"/>
    <col min="6660" max="6661" width="13.7109375" style="140" customWidth="1"/>
    <col min="6662" max="6662" width="16.85546875" style="140" customWidth="1"/>
    <col min="6663" max="6663" width="15.140625" style="140" customWidth="1"/>
    <col min="6664" max="6664" width="13.7109375" style="140" customWidth="1"/>
    <col min="6665" max="6665" width="17" style="140" customWidth="1"/>
    <col min="6666" max="6666" width="13.140625" style="140" bestFit="1" customWidth="1"/>
    <col min="6667" max="6667" width="7.85546875" style="140"/>
    <col min="6668" max="6668" width="14.28515625" style="140" bestFit="1" customWidth="1"/>
    <col min="6669" max="6669" width="16.42578125" style="140" bestFit="1" customWidth="1"/>
    <col min="6670" max="6912" width="7.85546875" style="140"/>
    <col min="6913" max="6913" width="29.28515625" style="140" customWidth="1"/>
    <col min="6914" max="6914" width="14.42578125" style="140" customWidth="1"/>
    <col min="6915" max="6915" width="16" style="140" customWidth="1"/>
    <col min="6916" max="6917" width="13.7109375" style="140" customWidth="1"/>
    <col min="6918" max="6918" width="16.85546875" style="140" customWidth="1"/>
    <col min="6919" max="6919" width="15.140625" style="140" customWidth="1"/>
    <col min="6920" max="6920" width="13.7109375" style="140" customWidth="1"/>
    <col min="6921" max="6921" width="17" style="140" customWidth="1"/>
    <col min="6922" max="6922" width="13.140625" style="140" bestFit="1" customWidth="1"/>
    <col min="6923" max="6923" width="7.85546875" style="140"/>
    <col min="6924" max="6924" width="14.28515625" style="140" bestFit="1" customWidth="1"/>
    <col min="6925" max="6925" width="16.42578125" style="140" bestFit="1" customWidth="1"/>
    <col min="6926" max="7168" width="7.85546875" style="140"/>
    <col min="7169" max="7169" width="29.28515625" style="140" customWidth="1"/>
    <col min="7170" max="7170" width="14.42578125" style="140" customWidth="1"/>
    <col min="7171" max="7171" width="16" style="140" customWidth="1"/>
    <col min="7172" max="7173" width="13.7109375" style="140" customWidth="1"/>
    <col min="7174" max="7174" width="16.85546875" style="140" customWidth="1"/>
    <col min="7175" max="7175" width="15.140625" style="140" customWidth="1"/>
    <col min="7176" max="7176" width="13.7109375" style="140" customWidth="1"/>
    <col min="7177" max="7177" width="17" style="140" customWidth="1"/>
    <col min="7178" max="7178" width="13.140625" style="140" bestFit="1" customWidth="1"/>
    <col min="7179" max="7179" width="7.85546875" style="140"/>
    <col min="7180" max="7180" width="14.28515625" style="140" bestFit="1" customWidth="1"/>
    <col min="7181" max="7181" width="16.42578125" style="140" bestFit="1" customWidth="1"/>
    <col min="7182" max="7424" width="7.85546875" style="140"/>
    <col min="7425" max="7425" width="29.28515625" style="140" customWidth="1"/>
    <col min="7426" max="7426" width="14.42578125" style="140" customWidth="1"/>
    <col min="7427" max="7427" width="16" style="140" customWidth="1"/>
    <col min="7428" max="7429" width="13.7109375" style="140" customWidth="1"/>
    <col min="7430" max="7430" width="16.85546875" style="140" customWidth="1"/>
    <col min="7431" max="7431" width="15.140625" style="140" customWidth="1"/>
    <col min="7432" max="7432" width="13.7109375" style="140" customWidth="1"/>
    <col min="7433" max="7433" width="17" style="140" customWidth="1"/>
    <col min="7434" max="7434" width="13.140625" style="140" bestFit="1" customWidth="1"/>
    <col min="7435" max="7435" width="7.85546875" style="140"/>
    <col min="7436" max="7436" width="14.28515625" style="140" bestFit="1" customWidth="1"/>
    <col min="7437" max="7437" width="16.42578125" style="140" bestFit="1" customWidth="1"/>
    <col min="7438" max="7680" width="7.85546875" style="140"/>
    <col min="7681" max="7681" width="29.28515625" style="140" customWidth="1"/>
    <col min="7682" max="7682" width="14.42578125" style="140" customWidth="1"/>
    <col min="7683" max="7683" width="16" style="140" customWidth="1"/>
    <col min="7684" max="7685" width="13.7109375" style="140" customWidth="1"/>
    <col min="7686" max="7686" width="16.85546875" style="140" customWidth="1"/>
    <col min="7687" max="7687" width="15.140625" style="140" customWidth="1"/>
    <col min="7688" max="7688" width="13.7109375" style="140" customWidth="1"/>
    <col min="7689" max="7689" width="17" style="140" customWidth="1"/>
    <col min="7690" max="7690" width="13.140625" style="140" bestFit="1" customWidth="1"/>
    <col min="7691" max="7691" width="7.85546875" style="140"/>
    <col min="7692" max="7692" width="14.28515625" style="140" bestFit="1" customWidth="1"/>
    <col min="7693" max="7693" width="16.42578125" style="140" bestFit="1" customWidth="1"/>
    <col min="7694" max="7936" width="7.85546875" style="140"/>
    <col min="7937" max="7937" width="29.28515625" style="140" customWidth="1"/>
    <col min="7938" max="7938" width="14.42578125" style="140" customWidth="1"/>
    <col min="7939" max="7939" width="16" style="140" customWidth="1"/>
    <col min="7940" max="7941" width="13.7109375" style="140" customWidth="1"/>
    <col min="7942" max="7942" width="16.85546875" style="140" customWidth="1"/>
    <col min="7943" max="7943" width="15.140625" style="140" customWidth="1"/>
    <col min="7944" max="7944" width="13.7109375" style="140" customWidth="1"/>
    <col min="7945" max="7945" width="17" style="140" customWidth="1"/>
    <col min="7946" max="7946" width="13.140625" style="140" bestFit="1" customWidth="1"/>
    <col min="7947" max="7947" width="7.85546875" style="140"/>
    <col min="7948" max="7948" width="14.28515625" style="140" bestFit="1" customWidth="1"/>
    <col min="7949" max="7949" width="16.42578125" style="140" bestFit="1" customWidth="1"/>
    <col min="7950" max="8192" width="7.85546875" style="140"/>
    <col min="8193" max="8193" width="29.28515625" style="140" customWidth="1"/>
    <col min="8194" max="8194" width="14.42578125" style="140" customWidth="1"/>
    <col min="8195" max="8195" width="16" style="140" customWidth="1"/>
    <col min="8196" max="8197" width="13.7109375" style="140" customWidth="1"/>
    <col min="8198" max="8198" width="16.85546875" style="140" customWidth="1"/>
    <col min="8199" max="8199" width="15.140625" style="140" customWidth="1"/>
    <col min="8200" max="8200" width="13.7109375" style="140" customWidth="1"/>
    <col min="8201" max="8201" width="17" style="140" customWidth="1"/>
    <col min="8202" max="8202" width="13.140625" style="140" bestFit="1" customWidth="1"/>
    <col min="8203" max="8203" width="7.85546875" style="140"/>
    <col min="8204" max="8204" width="14.28515625" style="140" bestFit="1" customWidth="1"/>
    <col min="8205" max="8205" width="16.42578125" style="140" bestFit="1" customWidth="1"/>
    <col min="8206" max="8448" width="7.85546875" style="140"/>
    <col min="8449" max="8449" width="29.28515625" style="140" customWidth="1"/>
    <col min="8450" max="8450" width="14.42578125" style="140" customWidth="1"/>
    <col min="8451" max="8451" width="16" style="140" customWidth="1"/>
    <col min="8452" max="8453" width="13.7109375" style="140" customWidth="1"/>
    <col min="8454" max="8454" width="16.85546875" style="140" customWidth="1"/>
    <col min="8455" max="8455" width="15.140625" style="140" customWidth="1"/>
    <col min="8456" max="8456" width="13.7109375" style="140" customWidth="1"/>
    <col min="8457" max="8457" width="17" style="140" customWidth="1"/>
    <col min="8458" max="8458" width="13.140625" style="140" bestFit="1" customWidth="1"/>
    <col min="8459" max="8459" width="7.85546875" style="140"/>
    <col min="8460" max="8460" width="14.28515625" style="140" bestFit="1" customWidth="1"/>
    <col min="8461" max="8461" width="16.42578125" style="140" bestFit="1" customWidth="1"/>
    <col min="8462" max="8704" width="7.85546875" style="140"/>
    <col min="8705" max="8705" width="29.28515625" style="140" customWidth="1"/>
    <col min="8706" max="8706" width="14.42578125" style="140" customWidth="1"/>
    <col min="8707" max="8707" width="16" style="140" customWidth="1"/>
    <col min="8708" max="8709" width="13.7109375" style="140" customWidth="1"/>
    <col min="8710" max="8710" width="16.85546875" style="140" customWidth="1"/>
    <col min="8711" max="8711" width="15.140625" style="140" customWidth="1"/>
    <col min="8712" max="8712" width="13.7109375" style="140" customWidth="1"/>
    <col min="8713" max="8713" width="17" style="140" customWidth="1"/>
    <col min="8714" max="8714" width="13.140625" style="140" bestFit="1" customWidth="1"/>
    <col min="8715" max="8715" width="7.85546875" style="140"/>
    <col min="8716" max="8716" width="14.28515625" style="140" bestFit="1" customWidth="1"/>
    <col min="8717" max="8717" width="16.42578125" style="140" bestFit="1" customWidth="1"/>
    <col min="8718" max="8960" width="7.85546875" style="140"/>
    <col min="8961" max="8961" width="29.28515625" style="140" customWidth="1"/>
    <col min="8962" max="8962" width="14.42578125" style="140" customWidth="1"/>
    <col min="8963" max="8963" width="16" style="140" customWidth="1"/>
    <col min="8964" max="8965" width="13.7109375" style="140" customWidth="1"/>
    <col min="8966" max="8966" width="16.85546875" style="140" customWidth="1"/>
    <col min="8967" max="8967" width="15.140625" style="140" customWidth="1"/>
    <col min="8968" max="8968" width="13.7109375" style="140" customWidth="1"/>
    <col min="8969" max="8969" width="17" style="140" customWidth="1"/>
    <col min="8970" max="8970" width="13.140625" style="140" bestFit="1" customWidth="1"/>
    <col min="8971" max="8971" width="7.85546875" style="140"/>
    <col min="8972" max="8972" width="14.28515625" style="140" bestFit="1" customWidth="1"/>
    <col min="8973" max="8973" width="16.42578125" style="140" bestFit="1" customWidth="1"/>
    <col min="8974" max="9216" width="7.85546875" style="140"/>
    <col min="9217" max="9217" width="29.28515625" style="140" customWidth="1"/>
    <col min="9218" max="9218" width="14.42578125" style="140" customWidth="1"/>
    <col min="9219" max="9219" width="16" style="140" customWidth="1"/>
    <col min="9220" max="9221" width="13.7109375" style="140" customWidth="1"/>
    <col min="9222" max="9222" width="16.85546875" style="140" customWidth="1"/>
    <col min="9223" max="9223" width="15.140625" style="140" customWidth="1"/>
    <col min="9224" max="9224" width="13.7109375" style="140" customWidth="1"/>
    <col min="9225" max="9225" width="17" style="140" customWidth="1"/>
    <col min="9226" max="9226" width="13.140625" style="140" bestFit="1" customWidth="1"/>
    <col min="9227" max="9227" width="7.85546875" style="140"/>
    <col min="9228" max="9228" width="14.28515625" style="140" bestFit="1" customWidth="1"/>
    <col min="9229" max="9229" width="16.42578125" style="140" bestFit="1" customWidth="1"/>
    <col min="9230" max="9472" width="7.85546875" style="140"/>
    <col min="9473" max="9473" width="29.28515625" style="140" customWidth="1"/>
    <col min="9474" max="9474" width="14.42578125" style="140" customWidth="1"/>
    <col min="9475" max="9475" width="16" style="140" customWidth="1"/>
    <col min="9476" max="9477" width="13.7109375" style="140" customWidth="1"/>
    <col min="9478" max="9478" width="16.85546875" style="140" customWidth="1"/>
    <col min="9479" max="9479" width="15.140625" style="140" customWidth="1"/>
    <col min="9480" max="9480" width="13.7109375" style="140" customWidth="1"/>
    <col min="9481" max="9481" width="17" style="140" customWidth="1"/>
    <col min="9482" max="9482" width="13.140625" style="140" bestFit="1" customWidth="1"/>
    <col min="9483" max="9483" width="7.85546875" style="140"/>
    <col min="9484" max="9484" width="14.28515625" style="140" bestFit="1" customWidth="1"/>
    <col min="9485" max="9485" width="16.42578125" style="140" bestFit="1" customWidth="1"/>
    <col min="9486" max="9728" width="7.85546875" style="140"/>
    <col min="9729" max="9729" width="29.28515625" style="140" customWidth="1"/>
    <col min="9730" max="9730" width="14.42578125" style="140" customWidth="1"/>
    <col min="9731" max="9731" width="16" style="140" customWidth="1"/>
    <col min="9732" max="9733" width="13.7109375" style="140" customWidth="1"/>
    <col min="9734" max="9734" width="16.85546875" style="140" customWidth="1"/>
    <col min="9735" max="9735" width="15.140625" style="140" customWidth="1"/>
    <col min="9736" max="9736" width="13.7109375" style="140" customWidth="1"/>
    <col min="9737" max="9737" width="17" style="140" customWidth="1"/>
    <col min="9738" max="9738" width="13.140625" style="140" bestFit="1" customWidth="1"/>
    <col min="9739" max="9739" width="7.85546875" style="140"/>
    <col min="9740" max="9740" width="14.28515625" style="140" bestFit="1" customWidth="1"/>
    <col min="9741" max="9741" width="16.42578125" style="140" bestFit="1" customWidth="1"/>
    <col min="9742" max="9984" width="7.85546875" style="140"/>
    <col min="9985" max="9985" width="29.28515625" style="140" customWidth="1"/>
    <col min="9986" max="9986" width="14.42578125" style="140" customWidth="1"/>
    <col min="9987" max="9987" width="16" style="140" customWidth="1"/>
    <col min="9988" max="9989" width="13.7109375" style="140" customWidth="1"/>
    <col min="9990" max="9990" width="16.85546875" style="140" customWidth="1"/>
    <col min="9991" max="9991" width="15.140625" style="140" customWidth="1"/>
    <col min="9992" max="9992" width="13.7109375" style="140" customWidth="1"/>
    <col min="9993" max="9993" width="17" style="140" customWidth="1"/>
    <col min="9994" max="9994" width="13.140625" style="140" bestFit="1" customWidth="1"/>
    <col min="9995" max="9995" width="7.85546875" style="140"/>
    <col min="9996" max="9996" width="14.28515625" style="140" bestFit="1" customWidth="1"/>
    <col min="9997" max="9997" width="16.42578125" style="140" bestFit="1" customWidth="1"/>
    <col min="9998" max="10240" width="7.85546875" style="140"/>
    <col min="10241" max="10241" width="29.28515625" style="140" customWidth="1"/>
    <col min="10242" max="10242" width="14.42578125" style="140" customWidth="1"/>
    <col min="10243" max="10243" width="16" style="140" customWidth="1"/>
    <col min="10244" max="10245" width="13.7109375" style="140" customWidth="1"/>
    <col min="10246" max="10246" width="16.85546875" style="140" customWidth="1"/>
    <col min="10247" max="10247" width="15.140625" style="140" customWidth="1"/>
    <col min="10248" max="10248" width="13.7109375" style="140" customWidth="1"/>
    <col min="10249" max="10249" width="17" style="140" customWidth="1"/>
    <col min="10250" max="10250" width="13.140625" style="140" bestFit="1" customWidth="1"/>
    <col min="10251" max="10251" width="7.85546875" style="140"/>
    <col min="10252" max="10252" width="14.28515625" style="140" bestFit="1" customWidth="1"/>
    <col min="10253" max="10253" width="16.42578125" style="140" bestFit="1" customWidth="1"/>
    <col min="10254" max="10496" width="7.85546875" style="140"/>
    <col min="10497" max="10497" width="29.28515625" style="140" customWidth="1"/>
    <col min="10498" max="10498" width="14.42578125" style="140" customWidth="1"/>
    <col min="10499" max="10499" width="16" style="140" customWidth="1"/>
    <col min="10500" max="10501" width="13.7109375" style="140" customWidth="1"/>
    <col min="10502" max="10502" width="16.85546875" style="140" customWidth="1"/>
    <col min="10503" max="10503" width="15.140625" style="140" customWidth="1"/>
    <col min="10504" max="10504" width="13.7109375" style="140" customWidth="1"/>
    <col min="10505" max="10505" width="17" style="140" customWidth="1"/>
    <col min="10506" max="10506" width="13.140625" style="140" bestFit="1" customWidth="1"/>
    <col min="10507" max="10507" width="7.85546875" style="140"/>
    <col min="10508" max="10508" width="14.28515625" style="140" bestFit="1" customWidth="1"/>
    <col min="10509" max="10509" width="16.42578125" style="140" bestFit="1" customWidth="1"/>
    <col min="10510" max="10752" width="7.85546875" style="140"/>
    <col min="10753" max="10753" width="29.28515625" style="140" customWidth="1"/>
    <col min="10754" max="10754" width="14.42578125" style="140" customWidth="1"/>
    <col min="10755" max="10755" width="16" style="140" customWidth="1"/>
    <col min="10756" max="10757" width="13.7109375" style="140" customWidth="1"/>
    <col min="10758" max="10758" width="16.85546875" style="140" customWidth="1"/>
    <col min="10759" max="10759" width="15.140625" style="140" customWidth="1"/>
    <col min="10760" max="10760" width="13.7109375" style="140" customWidth="1"/>
    <col min="10761" max="10761" width="17" style="140" customWidth="1"/>
    <col min="10762" max="10762" width="13.140625" style="140" bestFit="1" customWidth="1"/>
    <col min="10763" max="10763" width="7.85546875" style="140"/>
    <col min="10764" max="10764" width="14.28515625" style="140" bestFit="1" customWidth="1"/>
    <col min="10765" max="10765" width="16.42578125" style="140" bestFit="1" customWidth="1"/>
    <col min="10766" max="11008" width="7.85546875" style="140"/>
    <col min="11009" max="11009" width="29.28515625" style="140" customWidth="1"/>
    <col min="11010" max="11010" width="14.42578125" style="140" customWidth="1"/>
    <col min="11011" max="11011" width="16" style="140" customWidth="1"/>
    <col min="11012" max="11013" width="13.7109375" style="140" customWidth="1"/>
    <col min="11014" max="11014" width="16.85546875" style="140" customWidth="1"/>
    <col min="11015" max="11015" width="15.140625" style="140" customWidth="1"/>
    <col min="11016" max="11016" width="13.7109375" style="140" customWidth="1"/>
    <col min="11017" max="11017" width="17" style="140" customWidth="1"/>
    <col min="11018" max="11018" width="13.140625" style="140" bestFit="1" customWidth="1"/>
    <col min="11019" max="11019" width="7.85546875" style="140"/>
    <col min="11020" max="11020" width="14.28515625" style="140" bestFit="1" customWidth="1"/>
    <col min="11021" max="11021" width="16.42578125" style="140" bestFit="1" customWidth="1"/>
    <col min="11022" max="11264" width="7.85546875" style="140"/>
    <col min="11265" max="11265" width="29.28515625" style="140" customWidth="1"/>
    <col min="11266" max="11266" width="14.42578125" style="140" customWidth="1"/>
    <col min="11267" max="11267" width="16" style="140" customWidth="1"/>
    <col min="11268" max="11269" width="13.7109375" style="140" customWidth="1"/>
    <col min="11270" max="11270" width="16.85546875" style="140" customWidth="1"/>
    <col min="11271" max="11271" width="15.140625" style="140" customWidth="1"/>
    <col min="11272" max="11272" width="13.7109375" style="140" customWidth="1"/>
    <col min="11273" max="11273" width="17" style="140" customWidth="1"/>
    <col min="11274" max="11274" width="13.140625" style="140" bestFit="1" customWidth="1"/>
    <col min="11275" max="11275" width="7.85546875" style="140"/>
    <col min="11276" max="11276" width="14.28515625" style="140" bestFit="1" customWidth="1"/>
    <col min="11277" max="11277" width="16.42578125" style="140" bestFit="1" customWidth="1"/>
    <col min="11278" max="11520" width="7.85546875" style="140"/>
    <col min="11521" max="11521" width="29.28515625" style="140" customWidth="1"/>
    <col min="11522" max="11522" width="14.42578125" style="140" customWidth="1"/>
    <col min="11523" max="11523" width="16" style="140" customWidth="1"/>
    <col min="11524" max="11525" width="13.7109375" style="140" customWidth="1"/>
    <col min="11526" max="11526" width="16.85546875" style="140" customWidth="1"/>
    <col min="11527" max="11527" width="15.140625" style="140" customWidth="1"/>
    <col min="11528" max="11528" width="13.7109375" style="140" customWidth="1"/>
    <col min="11529" max="11529" width="17" style="140" customWidth="1"/>
    <col min="11530" max="11530" width="13.140625" style="140" bestFit="1" customWidth="1"/>
    <col min="11531" max="11531" width="7.85546875" style="140"/>
    <col min="11532" max="11532" width="14.28515625" style="140" bestFit="1" customWidth="1"/>
    <col min="11533" max="11533" width="16.42578125" style="140" bestFit="1" customWidth="1"/>
    <col min="11534" max="11776" width="7.85546875" style="140"/>
    <col min="11777" max="11777" width="29.28515625" style="140" customWidth="1"/>
    <col min="11778" max="11778" width="14.42578125" style="140" customWidth="1"/>
    <col min="11779" max="11779" width="16" style="140" customWidth="1"/>
    <col min="11780" max="11781" width="13.7109375" style="140" customWidth="1"/>
    <col min="11782" max="11782" width="16.85546875" style="140" customWidth="1"/>
    <col min="11783" max="11783" width="15.140625" style="140" customWidth="1"/>
    <col min="11784" max="11784" width="13.7109375" style="140" customWidth="1"/>
    <col min="11785" max="11785" width="17" style="140" customWidth="1"/>
    <col min="11786" max="11786" width="13.140625" style="140" bestFit="1" customWidth="1"/>
    <col min="11787" max="11787" width="7.85546875" style="140"/>
    <col min="11788" max="11788" width="14.28515625" style="140" bestFit="1" customWidth="1"/>
    <col min="11789" max="11789" width="16.42578125" style="140" bestFit="1" customWidth="1"/>
    <col min="11790" max="12032" width="7.85546875" style="140"/>
    <col min="12033" max="12033" width="29.28515625" style="140" customWidth="1"/>
    <col min="12034" max="12034" width="14.42578125" style="140" customWidth="1"/>
    <col min="12035" max="12035" width="16" style="140" customWidth="1"/>
    <col min="12036" max="12037" width="13.7109375" style="140" customWidth="1"/>
    <col min="12038" max="12038" width="16.85546875" style="140" customWidth="1"/>
    <col min="12039" max="12039" width="15.140625" style="140" customWidth="1"/>
    <col min="12040" max="12040" width="13.7109375" style="140" customWidth="1"/>
    <col min="12041" max="12041" width="17" style="140" customWidth="1"/>
    <col min="12042" max="12042" width="13.140625" style="140" bestFit="1" customWidth="1"/>
    <col min="12043" max="12043" width="7.85546875" style="140"/>
    <col min="12044" max="12044" width="14.28515625" style="140" bestFit="1" customWidth="1"/>
    <col min="12045" max="12045" width="16.42578125" style="140" bestFit="1" customWidth="1"/>
    <col min="12046" max="12288" width="7.85546875" style="140"/>
    <col min="12289" max="12289" width="29.28515625" style="140" customWidth="1"/>
    <col min="12290" max="12290" width="14.42578125" style="140" customWidth="1"/>
    <col min="12291" max="12291" width="16" style="140" customWidth="1"/>
    <col min="12292" max="12293" width="13.7109375" style="140" customWidth="1"/>
    <col min="12294" max="12294" width="16.85546875" style="140" customWidth="1"/>
    <col min="12295" max="12295" width="15.140625" style="140" customWidth="1"/>
    <col min="12296" max="12296" width="13.7109375" style="140" customWidth="1"/>
    <col min="12297" max="12297" width="17" style="140" customWidth="1"/>
    <col min="12298" max="12298" width="13.140625" style="140" bestFit="1" customWidth="1"/>
    <col min="12299" max="12299" width="7.85546875" style="140"/>
    <col min="12300" max="12300" width="14.28515625" style="140" bestFit="1" customWidth="1"/>
    <col min="12301" max="12301" width="16.42578125" style="140" bestFit="1" customWidth="1"/>
    <col min="12302" max="12544" width="7.85546875" style="140"/>
    <col min="12545" max="12545" width="29.28515625" style="140" customWidth="1"/>
    <col min="12546" max="12546" width="14.42578125" style="140" customWidth="1"/>
    <col min="12547" max="12547" width="16" style="140" customWidth="1"/>
    <col min="12548" max="12549" width="13.7109375" style="140" customWidth="1"/>
    <col min="12550" max="12550" width="16.85546875" style="140" customWidth="1"/>
    <col min="12551" max="12551" width="15.140625" style="140" customWidth="1"/>
    <col min="12552" max="12552" width="13.7109375" style="140" customWidth="1"/>
    <col min="12553" max="12553" width="17" style="140" customWidth="1"/>
    <col min="12554" max="12554" width="13.140625" style="140" bestFit="1" customWidth="1"/>
    <col min="12555" max="12555" width="7.85546875" style="140"/>
    <col min="12556" max="12556" width="14.28515625" style="140" bestFit="1" customWidth="1"/>
    <col min="12557" max="12557" width="16.42578125" style="140" bestFit="1" customWidth="1"/>
    <col min="12558" max="12800" width="7.85546875" style="140"/>
    <col min="12801" max="12801" width="29.28515625" style="140" customWidth="1"/>
    <col min="12802" max="12802" width="14.42578125" style="140" customWidth="1"/>
    <col min="12803" max="12803" width="16" style="140" customWidth="1"/>
    <col min="12804" max="12805" width="13.7109375" style="140" customWidth="1"/>
    <col min="12806" max="12806" width="16.85546875" style="140" customWidth="1"/>
    <col min="12807" max="12807" width="15.140625" style="140" customWidth="1"/>
    <col min="12808" max="12808" width="13.7109375" style="140" customWidth="1"/>
    <col min="12809" max="12809" width="17" style="140" customWidth="1"/>
    <col min="12810" max="12810" width="13.140625" style="140" bestFit="1" customWidth="1"/>
    <col min="12811" max="12811" width="7.85546875" style="140"/>
    <col min="12812" max="12812" width="14.28515625" style="140" bestFit="1" customWidth="1"/>
    <col min="12813" max="12813" width="16.42578125" style="140" bestFit="1" customWidth="1"/>
    <col min="12814" max="13056" width="7.85546875" style="140"/>
    <col min="13057" max="13057" width="29.28515625" style="140" customWidth="1"/>
    <col min="13058" max="13058" width="14.42578125" style="140" customWidth="1"/>
    <col min="13059" max="13059" width="16" style="140" customWidth="1"/>
    <col min="13060" max="13061" width="13.7109375" style="140" customWidth="1"/>
    <col min="13062" max="13062" width="16.85546875" style="140" customWidth="1"/>
    <col min="13063" max="13063" width="15.140625" style="140" customWidth="1"/>
    <col min="13064" max="13064" width="13.7109375" style="140" customWidth="1"/>
    <col min="13065" max="13065" width="17" style="140" customWidth="1"/>
    <col min="13066" max="13066" width="13.140625" style="140" bestFit="1" customWidth="1"/>
    <col min="13067" max="13067" width="7.85546875" style="140"/>
    <col min="13068" max="13068" width="14.28515625" style="140" bestFit="1" customWidth="1"/>
    <col min="13069" max="13069" width="16.42578125" style="140" bestFit="1" customWidth="1"/>
    <col min="13070" max="13312" width="7.85546875" style="140"/>
    <col min="13313" max="13313" width="29.28515625" style="140" customWidth="1"/>
    <col min="13314" max="13314" width="14.42578125" style="140" customWidth="1"/>
    <col min="13315" max="13315" width="16" style="140" customWidth="1"/>
    <col min="13316" max="13317" width="13.7109375" style="140" customWidth="1"/>
    <col min="13318" max="13318" width="16.85546875" style="140" customWidth="1"/>
    <col min="13319" max="13319" width="15.140625" style="140" customWidth="1"/>
    <col min="13320" max="13320" width="13.7109375" style="140" customWidth="1"/>
    <col min="13321" max="13321" width="17" style="140" customWidth="1"/>
    <col min="13322" max="13322" width="13.140625" style="140" bestFit="1" customWidth="1"/>
    <col min="13323" max="13323" width="7.85546875" style="140"/>
    <col min="13324" max="13324" width="14.28515625" style="140" bestFit="1" customWidth="1"/>
    <col min="13325" max="13325" width="16.42578125" style="140" bestFit="1" customWidth="1"/>
    <col min="13326" max="13568" width="7.85546875" style="140"/>
    <col min="13569" max="13569" width="29.28515625" style="140" customWidth="1"/>
    <col min="13570" max="13570" width="14.42578125" style="140" customWidth="1"/>
    <col min="13571" max="13571" width="16" style="140" customWidth="1"/>
    <col min="13572" max="13573" width="13.7109375" style="140" customWidth="1"/>
    <col min="13574" max="13574" width="16.85546875" style="140" customWidth="1"/>
    <col min="13575" max="13575" width="15.140625" style="140" customWidth="1"/>
    <col min="13576" max="13576" width="13.7109375" style="140" customWidth="1"/>
    <col min="13577" max="13577" width="17" style="140" customWidth="1"/>
    <col min="13578" max="13578" width="13.140625" style="140" bestFit="1" customWidth="1"/>
    <col min="13579" max="13579" width="7.85546875" style="140"/>
    <col min="13580" max="13580" width="14.28515625" style="140" bestFit="1" customWidth="1"/>
    <col min="13581" max="13581" width="16.42578125" style="140" bestFit="1" customWidth="1"/>
    <col min="13582" max="13824" width="7.85546875" style="140"/>
    <col min="13825" max="13825" width="29.28515625" style="140" customWidth="1"/>
    <col min="13826" max="13826" width="14.42578125" style="140" customWidth="1"/>
    <col min="13827" max="13827" width="16" style="140" customWidth="1"/>
    <col min="13828" max="13829" width="13.7109375" style="140" customWidth="1"/>
    <col min="13830" max="13830" width="16.85546875" style="140" customWidth="1"/>
    <col min="13831" max="13831" width="15.140625" style="140" customWidth="1"/>
    <col min="13832" max="13832" width="13.7109375" style="140" customWidth="1"/>
    <col min="13833" max="13833" width="17" style="140" customWidth="1"/>
    <col min="13834" max="13834" width="13.140625" style="140" bestFit="1" customWidth="1"/>
    <col min="13835" max="13835" width="7.85546875" style="140"/>
    <col min="13836" max="13836" width="14.28515625" style="140" bestFit="1" customWidth="1"/>
    <col min="13837" max="13837" width="16.42578125" style="140" bestFit="1" customWidth="1"/>
    <col min="13838" max="14080" width="7.85546875" style="140"/>
    <col min="14081" max="14081" width="29.28515625" style="140" customWidth="1"/>
    <col min="14082" max="14082" width="14.42578125" style="140" customWidth="1"/>
    <col min="14083" max="14083" width="16" style="140" customWidth="1"/>
    <col min="14084" max="14085" width="13.7109375" style="140" customWidth="1"/>
    <col min="14086" max="14086" width="16.85546875" style="140" customWidth="1"/>
    <col min="14087" max="14087" width="15.140625" style="140" customWidth="1"/>
    <col min="14088" max="14088" width="13.7109375" style="140" customWidth="1"/>
    <col min="14089" max="14089" width="17" style="140" customWidth="1"/>
    <col min="14090" max="14090" width="13.140625" style="140" bestFit="1" customWidth="1"/>
    <col min="14091" max="14091" width="7.85546875" style="140"/>
    <col min="14092" max="14092" width="14.28515625" style="140" bestFit="1" customWidth="1"/>
    <col min="14093" max="14093" width="16.42578125" style="140" bestFit="1" customWidth="1"/>
    <col min="14094" max="14336" width="7.85546875" style="140"/>
    <col min="14337" max="14337" width="29.28515625" style="140" customWidth="1"/>
    <col min="14338" max="14338" width="14.42578125" style="140" customWidth="1"/>
    <col min="14339" max="14339" width="16" style="140" customWidth="1"/>
    <col min="14340" max="14341" width="13.7109375" style="140" customWidth="1"/>
    <col min="14342" max="14342" width="16.85546875" style="140" customWidth="1"/>
    <col min="14343" max="14343" width="15.140625" style="140" customWidth="1"/>
    <col min="14344" max="14344" width="13.7109375" style="140" customWidth="1"/>
    <col min="14345" max="14345" width="17" style="140" customWidth="1"/>
    <col min="14346" max="14346" width="13.140625" style="140" bestFit="1" customWidth="1"/>
    <col min="14347" max="14347" width="7.85546875" style="140"/>
    <col min="14348" max="14348" width="14.28515625" style="140" bestFit="1" customWidth="1"/>
    <col min="14349" max="14349" width="16.42578125" style="140" bestFit="1" customWidth="1"/>
    <col min="14350" max="14592" width="7.85546875" style="140"/>
    <col min="14593" max="14593" width="29.28515625" style="140" customWidth="1"/>
    <col min="14594" max="14594" width="14.42578125" style="140" customWidth="1"/>
    <col min="14595" max="14595" width="16" style="140" customWidth="1"/>
    <col min="14596" max="14597" width="13.7109375" style="140" customWidth="1"/>
    <col min="14598" max="14598" width="16.85546875" style="140" customWidth="1"/>
    <col min="14599" max="14599" width="15.140625" style="140" customWidth="1"/>
    <col min="14600" max="14600" width="13.7109375" style="140" customWidth="1"/>
    <col min="14601" max="14601" width="17" style="140" customWidth="1"/>
    <col min="14602" max="14602" width="13.140625" style="140" bestFit="1" customWidth="1"/>
    <col min="14603" max="14603" width="7.85546875" style="140"/>
    <col min="14604" max="14604" width="14.28515625" style="140" bestFit="1" customWidth="1"/>
    <col min="14605" max="14605" width="16.42578125" style="140" bestFit="1" customWidth="1"/>
    <col min="14606" max="14848" width="7.85546875" style="140"/>
    <col min="14849" max="14849" width="29.28515625" style="140" customWidth="1"/>
    <col min="14850" max="14850" width="14.42578125" style="140" customWidth="1"/>
    <col min="14851" max="14851" width="16" style="140" customWidth="1"/>
    <col min="14852" max="14853" width="13.7109375" style="140" customWidth="1"/>
    <col min="14854" max="14854" width="16.85546875" style="140" customWidth="1"/>
    <col min="14855" max="14855" width="15.140625" style="140" customWidth="1"/>
    <col min="14856" max="14856" width="13.7109375" style="140" customWidth="1"/>
    <col min="14857" max="14857" width="17" style="140" customWidth="1"/>
    <col min="14858" max="14858" width="13.140625" style="140" bestFit="1" customWidth="1"/>
    <col min="14859" max="14859" width="7.85546875" style="140"/>
    <col min="14860" max="14860" width="14.28515625" style="140" bestFit="1" customWidth="1"/>
    <col min="14861" max="14861" width="16.42578125" style="140" bestFit="1" customWidth="1"/>
    <col min="14862" max="15104" width="7.85546875" style="140"/>
    <col min="15105" max="15105" width="29.28515625" style="140" customWidth="1"/>
    <col min="15106" max="15106" width="14.42578125" style="140" customWidth="1"/>
    <col min="15107" max="15107" width="16" style="140" customWidth="1"/>
    <col min="15108" max="15109" width="13.7109375" style="140" customWidth="1"/>
    <col min="15110" max="15110" width="16.85546875" style="140" customWidth="1"/>
    <col min="15111" max="15111" width="15.140625" style="140" customWidth="1"/>
    <col min="15112" max="15112" width="13.7109375" style="140" customWidth="1"/>
    <col min="15113" max="15113" width="17" style="140" customWidth="1"/>
    <col min="15114" max="15114" width="13.140625" style="140" bestFit="1" customWidth="1"/>
    <col min="15115" max="15115" width="7.85546875" style="140"/>
    <col min="15116" max="15116" width="14.28515625" style="140" bestFit="1" customWidth="1"/>
    <col min="15117" max="15117" width="16.42578125" style="140" bestFit="1" customWidth="1"/>
    <col min="15118" max="15360" width="7.85546875" style="140"/>
    <col min="15361" max="15361" width="29.28515625" style="140" customWidth="1"/>
    <col min="15362" max="15362" width="14.42578125" style="140" customWidth="1"/>
    <col min="15363" max="15363" width="16" style="140" customWidth="1"/>
    <col min="15364" max="15365" width="13.7109375" style="140" customWidth="1"/>
    <col min="15366" max="15366" width="16.85546875" style="140" customWidth="1"/>
    <col min="15367" max="15367" width="15.140625" style="140" customWidth="1"/>
    <col min="15368" max="15368" width="13.7109375" style="140" customWidth="1"/>
    <col min="15369" max="15369" width="17" style="140" customWidth="1"/>
    <col min="15370" max="15370" width="13.140625" style="140" bestFit="1" customWidth="1"/>
    <col min="15371" max="15371" width="7.85546875" style="140"/>
    <col min="15372" max="15372" width="14.28515625" style="140" bestFit="1" customWidth="1"/>
    <col min="15373" max="15373" width="16.42578125" style="140" bestFit="1" customWidth="1"/>
    <col min="15374" max="15616" width="7.85546875" style="140"/>
    <col min="15617" max="15617" width="29.28515625" style="140" customWidth="1"/>
    <col min="15618" max="15618" width="14.42578125" style="140" customWidth="1"/>
    <col min="15619" max="15619" width="16" style="140" customWidth="1"/>
    <col min="15620" max="15621" width="13.7109375" style="140" customWidth="1"/>
    <col min="15622" max="15622" width="16.85546875" style="140" customWidth="1"/>
    <col min="15623" max="15623" width="15.140625" style="140" customWidth="1"/>
    <col min="15624" max="15624" width="13.7109375" style="140" customWidth="1"/>
    <col min="15625" max="15625" width="17" style="140" customWidth="1"/>
    <col min="15626" max="15626" width="13.140625" style="140" bestFit="1" customWidth="1"/>
    <col min="15627" max="15627" width="7.85546875" style="140"/>
    <col min="15628" max="15628" width="14.28515625" style="140" bestFit="1" customWidth="1"/>
    <col min="15629" max="15629" width="16.42578125" style="140" bestFit="1" customWidth="1"/>
    <col min="15630" max="15872" width="7.85546875" style="140"/>
    <col min="15873" max="15873" width="29.28515625" style="140" customWidth="1"/>
    <col min="15874" max="15874" width="14.42578125" style="140" customWidth="1"/>
    <col min="15875" max="15875" width="16" style="140" customWidth="1"/>
    <col min="15876" max="15877" width="13.7109375" style="140" customWidth="1"/>
    <col min="15878" max="15878" width="16.85546875" style="140" customWidth="1"/>
    <col min="15879" max="15879" width="15.140625" style="140" customWidth="1"/>
    <col min="15880" max="15880" width="13.7109375" style="140" customWidth="1"/>
    <col min="15881" max="15881" width="17" style="140" customWidth="1"/>
    <col min="15882" max="15882" width="13.140625" style="140" bestFit="1" customWidth="1"/>
    <col min="15883" max="15883" width="7.85546875" style="140"/>
    <col min="15884" max="15884" width="14.28515625" style="140" bestFit="1" customWidth="1"/>
    <col min="15885" max="15885" width="16.42578125" style="140" bestFit="1" customWidth="1"/>
    <col min="15886" max="16128" width="7.85546875" style="140"/>
    <col min="16129" max="16129" width="29.28515625" style="140" customWidth="1"/>
    <col min="16130" max="16130" width="14.42578125" style="140" customWidth="1"/>
    <col min="16131" max="16131" width="16" style="140" customWidth="1"/>
    <col min="16132" max="16133" width="13.7109375" style="140" customWidth="1"/>
    <col min="16134" max="16134" width="16.85546875" style="140" customWidth="1"/>
    <col min="16135" max="16135" width="15.140625" style="140" customWidth="1"/>
    <col min="16136" max="16136" width="13.7109375" style="140" customWidth="1"/>
    <col min="16137" max="16137" width="17" style="140" customWidth="1"/>
    <col min="16138" max="16138" width="13.140625" style="140" bestFit="1" customWidth="1"/>
    <col min="16139" max="16139" width="7.85546875" style="140"/>
    <col min="16140" max="16140" width="14.28515625" style="140" bestFit="1" customWidth="1"/>
    <col min="16141" max="16141" width="16.42578125" style="140" bestFit="1" customWidth="1"/>
    <col min="16142" max="16384" width="7.85546875" style="140"/>
  </cols>
  <sheetData>
    <row r="1" spans="1:11" ht="27.75" customHeight="1" x14ac:dyDescent="0.2"/>
    <row r="2" spans="1:11" ht="25.5" customHeight="1" x14ac:dyDescent="0.2"/>
    <row r="3" spans="1:11" ht="15.75" customHeight="1" x14ac:dyDescent="0.25">
      <c r="A3" s="258" t="s">
        <v>165</v>
      </c>
      <c r="B3" s="258"/>
      <c r="C3" s="258"/>
      <c r="D3" s="258"/>
      <c r="E3" s="258"/>
      <c r="F3" s="258"/>
      <c r="G3" s="258"/>
      <c r="H3" s="258"/>
      <c r="I3" s="258"/>
    </row>
    <row r="4" spans="1:11" s="236" customFormat="1" ht="21.75" customHeight="1" x14ac:dyDescent="0.35">
      <c r="A4" s="239" t="s">
        <v>0</v>
      </c>
      <c r="B4" s="238"/>
      <c r="C4" s="237"/>
      <c r="D4" s="237"/>
      <c r="E4" s="237"/>
      <c r="F4" s="237"/>
      <c r="G4" s="237"/>
      <c r="H4" s="237"/>
      <c r="I4" s="237"/>
    </row>
    <row r="5" spans="1:11" s="141" customFormat="1" ht="15.75" x14ac:dyDescent="0.25">
      <c r="A5" s="235" t="s">
        <v>164</v>
      </c>
    </row>
    <row r="6" spans="1:11" s="233" customFormat="1" ht="25.5" customHeight="1" x14ac:dyDescent="0.2">
      <c r="A6" s="234" t="s">
        <v>3</v>
      </c>
      <c r="B6" s="234" t="s">
        <v>163</v>
      </c>
      <c r="C6" s="234" t="s">
        <v>162</v>
      </c>
      <c r="D6" s="234" t="s">
        <v>161</v>
      </c>
      <c r="E6" s="234" t="s">
        <v>160</v>
      </c>
      <c r="F6" s="234" t="s">
        <v>159</v>
      </c>
      <c r="G6" s="234" t="s">
        <v>158</v>
      </c>
      <c r="H6" s="234" t="s">
        <v>157</v>
      </c>
      <c r="I6" s="234" t="s">
        <v>156</v>
      </c>
      <c r="K6" s="233" t="s">
        <v>155</v>
      </c>
    </row>
    <row r="7" spans="1:11" customFormat="1" ht="17.25" customHeight="1" x14ac:dyDescent="0.25">
      <c r="A7" s="217" t="s">
        <v>154</v>
      </c>
      <c r="B7" s="232"/>
      <c r="C7" s="231"/>
      <c r="D7" s="230"/>
      <c r="E7" s="230"/>
      <c r="F7" s="230"/>
      <c r="G7" s="230"/>
      <c r="H7" s="230"/>
      <c r="I7" s="229"/>
      <c r="K7" s="228"/>
    </row>
    <row r="8" spans="1:11" customFormat="1" ht="12.95" customHeight="1" x14ac:dyDescent="0.25">
      <c r="A8" s="151" t="s">
        <v>100</v>
      </c>
      <c r="B8" s="158">
        <v>1</v>
      </c>
      <c r="C8" s="227">
        <v>40.5</v>
      </c>
      <c r="D8" s="225">
        <v>11</v>
      </c>
      <c r="E8" s="224">
        <v>0</v>
      </c>
      <c r="F8" s="204">
        <f>(((C8*2*14)*B8)*1.7+((C8*10*4)*B8)*2)</f>
        <v>5167.8</v>
      </c>
      <c r="G8" s="223">
        <v>0</v>
      </c>
      <c r="H8" s="204">
        <f>C8*(220)*B8</f>
        <v>8910</v>
      </c>
      <c r="I8" s="222">
        <f>E8+F8+G8+H8</f>
        <v>14077.8</v>
      </c>
      <c r="K8" s="202">
        <f>80*C8*B8</f>
        <v>3240</v>
      </c>
    </row>
    <row r="9" spans="1:11" customFormat="1" ht="12.95" customHeight="1" x14ac:dyDescent="0.25">
      <c r="A9" s="151" t="s">
        <v>99</v>
      </c>
      <c r="B9" s="158">
        <v>0.5</v>
      </c>
      <c r="C9" s="227">
        <v>25</v>
      </c>
      <c r="D9" s="225">
        <v>11</v>
      </c>
      <c r="E9" s="224">
        <v>0</v>
      </c>
      <c r="F9" s="204">
        <f t="shared" ref="F9:F18" si="0">(((C9*2*14)*B9)*1.7+((C9*10*4)*B9)*2)</f>
        <v>1595</v>
      </c>
      <c r="G9" s="223">
        <v>0</v>
      </c>
      <c r="H9" s="204">
        <f t="shared" ref="H9:H11" si="1">C9*(220)*B9</f>
        <v>2750</v>
      </c>
      <c r="I9" s="222">
        <f>E9+F9+G9+H9</f>
        <v>4345</v>
      </c>
      <c r="K9" s="202">
        <f t="shared" ref="K9:K18" si="2">170*C9*B9</f>
        <v>2125</v>
      </c>
    </row>
    <row r="10" spans="1:11" customFormat="1" ht="12.95" customHeight="1" x14ac:dyDescent="0.25">
      <c r="A10" s="151" t="s">
        <v>66</v>
      </c>
      <c r="B10" s="158">
        <v>0.5</v>
      </c>
      <c r="C10" s="226">
        <v>33.28</v>
      </c>
      <c r="D10" s="225">
        <v>11</v>
      </c>
      <c r="E10" s="224">
        <v>0</v>
      </c>
      <c r="F10" s="204">
        <f t="shared" si="0"/>
        <v>2123.2640000000001</v>
      </c>
      <c r="G10" s="223">
        <v>0</v>
      </c>
      <c r="H10" s="204">
        <f t="shared" si="1"/>
        <v>3660.8</v>
      </c>
      <c r="I10" s="222">
        <f>E10+F10+G10+H10</f>
        <v>5784.0640000000003</v>
      </c>
      <c r="K10" s="202">
        <f t="shared" si="2"/>
        <v>2828.8</v>
      </c>
    </row>
    <row r="11" spans="1:11" customFormat="1" ht="12.95" customHeight="1" x14ac:dyDescent="0.25">
      <c r="A11" s="151" t="s">
        <v>67</v>
      </c>
      <c r="B11" s="152">
        <v>1</v>
      </c>
      <c r="C11" s="221">
        <v>19.239999999999998</v>
      </c>
      <c r="D11" s="220">
        <v>11</v>
      </c>
      <c r="E11" s="219">
        <v>0</v>
      </c>
      <c r="F11" s="204">
        <f t="shared" si="0"/>
        <v>2455.0239999999994</v>
      </c>
      <c r="G11" s="204">
        <f>((C11*8*18)*0.4)*B11</f>
        <v>1108.2239999999999</v>
      </c>
      <c r="H11" s="204">
        <f t="shared" si="1"/>
        <v>4232.7999999999993</v>
      </c>
      <c r="I11" s="218">
        <f>E11+F11+G11+H11</f>
        <v>7796.0479999999989</v>
      </c>
      <c r="K11" s="202">
        <f t="shared" si="2"/>
        <v>3270.7999999999997</v>
      </c>
    </row>
    <row r="12" spans="1:11" customFormat="1" ht="12.95" customHeight="1" x14ac:dyDescent="0.25">
      <c r="A12" s="217" t="s">
        <v>153</v>
      </c>
      <c r="B12" s="216"/>
      <c r="C12" s="215"/>
      <c r="D12" s="214"/>
      <c r="E12" s="213"/>
      <c r="F12" s="204"/>
      <c r="G12" s="212"/>
      <c r="H12" s="204"/>
      <c r="I12" s="211"/>
      <c r="K12" s="202"/>
    </row>
    <row r="13" spans="1:11" customFormat="1" ht="12.95" customHeight="1" x14ac:dyDescent="0.25">
      <c r="A13" s="210" t="s">
        <v>86</v>
      </c>
      <c r="B13" s="209">
        <v>2</v>
      </c>
      <c r="C13" s="208">
        <v>17.68</v>
      </c>
      <c r="D13" s="205" t="s">
        <v>151</v>
      </c>
      <c r="E13" s="204">
        <v>0</v>
      </c>
      <c r="F13" s="204">
        <f t="shared" si="0"/>
        <v>4511.9359999999997</v>
      </c>
      <c r="G13" s="204">
        <f>((C13*8*18)*0.4)*B13/2</f>
        <v>1018.3680000000001</v>
      </c>
      <c r="H13" s="204">
        <f>C13*(220)*B13</f>
        <v>7779.2</v>
      </c>
      <c r="I13" s="203">
        <f t="shared" ref="I13:I18" si="3">E13+F13+G13+H13</f>
        <v>13309.504000000001</v>
      </c>
      <c r="K13" s="202">
        <f t="shared" si="2"/>
        <v>6011.2</v>
      </c>
    </row>
    <row r="14" spans="1:11" customFormat="1" ht="12.95" customHeight="1" x14ac:dyDescent="0.25">
      <c r="A14" s="151" t="s">
        <v>68</v>
      </c>
      <c r="B14" s="150">
        <v>14</v>
      </c>
      <c r="C14" s="207">
        <v>10.39</v>
      </c>
      <c r="D14" s="205" t="s">
        <v>151</v>
      </c>
      <c r="E14" s="204">
        <v>0</v>
      </c>
      <c r="F14" s="204">
        <f t="shared" si="0"/>
        <v>18560.696</v>
      </c>
      <c r="G14" s="204">
        <f t="shared" ref="G14:G18" si="4">((C14*8*18)*0.4)*B14/2</f>
        <v>4189.2480000000005</v>
      </c>
      <c r="H14" s="204">
        <f t="shared" ref="H14:H18" si="5">C14*(220)*B14</f>
        <v>32001.200000000004</v>
      </c>
      <c r="I14" s="203">
        <f t="shared" si="3"/>
        <v>54751.144</v>
      </c>
      <c r="K14" s="202">
        <f t="shared" si="2"/>
        <v>24728.200000000004</v>
      </c>
    </row>
    <row r="15" spans="1:11" customFormat="1" ht="12.95" customHeight="1" x14ac:dyDescent="0.25">
      <c r="A15" s="151" t="s">
        <v>69</v>
      </c>
      <c r="B15" s="150">
        <v>2</v>
      </c>
      <c r="C15" s="206">
        <v>9.4600000000000009</v>
      </c>
      <c r="D15" s="205" t="s">
        <v>151</v>
      </c>
      <c r="E15" s="204">
        <v>0</v>
      </c>
      <c r="F15" s="204">
        <f t="shared" si="0"/>
        <v>2414.192</v>
      </c>
      <c r="G15" s="204">
        <f t="shared" si="4"/>
        <v>544.89600000000007</v>
      </c>
      <c r="H15" s="204">
        <f t="shared" si="5"/>
        <v>4162.4000000000005</v>
      </c>
      <c r="I15" s="203">
        <f t="shared" si="3"/>
        <v>7121.4880000000012</v>
      </c>
      <c r="K15" s="202">
        <f t="shared" si="2"/>
        <v>3216.4</v>
      </c>
    </row>
    <row r="16" spans="1:11" customFormat="1" ht="12.95" customHeight="1" x14ac:dyDescent="0.25">
      <c r="A16" s="151" t="s">
        <v>70</v>
      </c>
      <c r="B16" s="150">
        <v>16</v>
      </c>
      <c r="C16" s="206">
        <v>5.7</v>
      </c>
      <c r="D16" s="205" t="s">
        <v>151</v>
      </c>
      <c r="E16" s="204">
        <v>0</v>
      </c>
      <c r="F16" s="204">
        <f t="shared" si="0"/>
        <v>11637.119999999999</v>
      </c>
      <c r="G16" s="204">
        <f t="shared" si="4"/>
        <v>2626.5600000000004</v>
      </c>
      <c r="H16" s="204">
        <f t="shared" si="5"/>
        <v>20064</v>
      </c>
      <c r="I16" s="203">
        <f t="shared" si="3"/>
        <v>34327.68</v>
      </c>
      <c r="K16" s="202">
        <f t="shared" si="2"/>
        <v>15504</v>
      </c>
    </row>
    <row r="17" spans="1:13" customFormat="1" ht="12.95" customHeight="1" x14ac:dyDescent="0.25">
      <c r="A17" s="151" t="s">
        <v>108</v>
      </c>
      <c r="B17" s="150">
        <v>1</v>
      </c>
      <c r="C17" s="206">
        <v>8.4600000000000009</v>
      </c>
      <c r="D17" s="205" t="s">
        <v>152</v>
      </c>
      <c r="E17" s="204">
        <v>-1</v>
      </c>
      <c r="F17" s="204">
        <f t="shared" si="0"/>
        <v>1079.4960000000001</v>
      </c>
      <c r="G17" s="204">
        <f t="shared" si="4"/>
        <v>243.64800000000005</v>
      </c>
      <c r="H17" s="204">
        <f t="shared" si="5"/>
        <v>1861.2000000000003</v>
      </c>
      <c r="I17" s="203">
        <f t="shared" si="3"/>
        <v>3183.3440000000005</v>
      </c>
      <c r="K17" s="202">
        <f t="shared" si="2"/>
        <v>1438.2</v>
      </c>
    </row>
    <row r="18" spans="1:13" customFormat="1" ht="12.95" customHeight="1" x14ac:dyDescent="0.25">
      <c r="A18" s="151" t="s">
        <v>71</v>
      </c>
      <c r="B18" s="150">
        <v>2</v>
      </c>
      <c r="C18" s="206">
        <v>9.4600000000000009</v>
      </c>
      <c r="D18" s="205" t="s">
        <v>151</v>
      </c>
      <c r="E18" s="204">
        <v>0</v>
      </c>
      <c r="F18" s="204">
        <f t="shared" si="0"/>
        <v>2414.192</v>
      </c>
      <c r="G18" s="204">
        <f t="shared" si="4"/>
        <v>544.89600000000007</v>
      </c>
      <c r="H18" s="204">
        <f t="shared" si="5"/>
        <v>4162.4000000000005</v>
      </c>
      <c r="I18" s="203">
        <f t="shared" si="3"/>
        <v>7121.4880000000012</v>
      </c>
      <c r="K18" s="202">
        <f t="shared" si="2"/>
        <v>3216.4</v>
      </c>
    </row>
    <row r="19" spans="1:13" customFormat="1" ht="14.1" customHeight="1" x14ac:dyDescent="0.25">
      <c r="A19" s="201" t="s">
        <v>150</v>
      </c>
      <c r="B19" s="200"/>
      <c r="C19" s="199"/>
      <c r="D19" s="198"/>
      <c r="E19" s="198"/>
      <c r="F19" s="198"/>
      <c r="G19" s="198"/>
      <c r="H19" s="198"/>
      <c r="I19" s="197"/>
    </row>
    <row r="20" spans="1:13" s="141" customFormat="1" ht="12.75" x14ac:dyDescent="0.2">
      <c r="A20" s="196"/>
      <c r="B20" s="161"/>
      <c r="C20" s="161"/>
      <c r="D20" s="195"/>
      <c r="E20" s="195"/>
      <c r="F20" s="195"/>
      <c r="G20" s="195"/>
      <c r="H20" s="195"/>
      <c r="I20" s="195"/>
      <c r="K20" s="194">
        <f>SUM(K8:K18)</f>
        <v>65579</v>
      </c>
    </row>
    <row r="21" spans="1:13" s="141" customFormat="1" ht="14.25" customHeight="1" x14ac:dyDescent="0.2">
      <c r="C21" s="259" t="s">
        <v>149</v>
      </c>
      <c r="D21" s="260"/>
      <c r="E21" s="260"/>
      <c r="F21" s="260"/>
      <c r="G21" s="260"/>
      <c r="H21" s="261">
        <f>SUM(I8:I18)</f>
        <v>151817.56000000003</v>
      </c>
      <c r="I21" s="262"/>
    </row>
    <row r="22" spans="1:13" s="141" customFormat="1" ht="17.25" customHeight="1" x14ac:dyDescent="0.25">
      <c r="A22" s="193" t="s">
        <v>148</v>
      </c>
    </row>
    <row r="23" spans="1:13" s="141" customFormat="1" ht="13.5" customHeight="1" x14ac:dyDescent="0.2">
      <c r="A23" s="192" t="s">
        <v>147</v>
      </c>
      <c r="B23" s="191" t="s">
        <v>146</v>
      </c>
      <c r="C23" s="190" t="s">
        <v>145</v>
      </c>
      <c r="D23" s="165"/>
      <c r="E23" s="165"/>
      <c r="F23" s="165"/>
      <c r="G23" s="165"/>
      <c r="H23" s="165"/>
      <c r="I23" s="161"/>
    </row>
    <row r="24" spans="1:13" s="141" customFormat="1" ht="15.75" hidden="1" customHeight="1" x14ac:dyDescent="0.2">
      <c r="A24" s="189" t="s">
        <v>144</v>
      </c>
      <c r="B24" s="188"/>
      <c r="C24" s="187"/>
      <c r="D24" s="170"/>
      <c r="E24" s="170"/>
      <c r="F24" s="170"/>
      <c r="G24" s="170"/>
      <c r="H24" s="263"/>
      <c r="I24" s="263"/>
    </row>
    <row r="25" spans="1:13" s="141" customFormat="1" ht="15.75" hidden="1" x14ac:dyDescent="0.25">
      <c r="A25" s="176" t="s">
        <v>143</v>
      </c>
      <c r="B25" s="181">
        <v>0.2</v>
      </c>
      <c r="C25" s="174">
        <f>H21*B25</f>
        <v>30363.512000000006</v>
      </c>
      <c r="D25" s="170"/>
      <c r="E25" s="170"/>
      <c r="F25" s="170"/>
      <c r="G25" s="170"/>
      <c r="H25" s="170"/>
      <c r="I25" s="161"/>
      <c r="M25" s="186">
        <v>762000</v>
      </c>
    </row>
    <row r="26" spans="1:13" s="141" customFormat="1" ht="12.75" hidden="1" x14ac:dyDescent="0.2">
      <c r="A26" s="176" t="s">
        <v>142</v>
      </c>
      <c r="B26" s="181">
        <v>8.5000000000000006E-2</v>
      </c>
      <c r="C26" s="174">
        <f>H21*B26</f>
        <v>12904.492600000003</v>
      </c>
      <c r="D26" s="185"/>
      <c r="E26" s="185"/>
      <c r="F26" s="185"/>
      <c r="G26" s="185"/>
      <c r="H26" s="170"/>
      <c r="I26" s="161"/>
    </row>
    <row r="27" spans="1:13" s="141" customFormat="1" ht="7.5" hidden="1" customHeight="1" x14ac:dyDescent="0.2">
      <c r="A27" s="176"/>
      <c r="B27" s="181"/>
      <c r="C27" s="184"/>
      <c r="D27" s="170"/>
      <c r="E27" s="170"/>
      <c r="F27" s="170"/>
      <c r="G27" s="170"/>
      <c r="H27" s="170"/>
      <c r="I27" s="161"/>
    </row>
    <row r="28" spans="1:13" s="141" customFormat="1" ht="15.75" hidden="1" customHeight="1" x14ac:dyDescent="0.2">
      <c r="A28" s="179" t="s">
        <v>141</v>
      </c>
      <c r="B28" s="180"/>
      <c r="C28" s="183"/>
      <c r="D28" s="170"/>
      <c r="E28" s="170"/>
      <c r="F28" s="170"/>
      <c r="G28" s="170"/>
      <c r="H28" s="170"/>
      <c r="I28" s="161"/>
    </row>
    <row r="29" spans="1:13" s="141" customFormat="1" ht="12.95" hidden="1" customHeight="1" x14ac:dyDescent="0.2">
      <c r="A29" s="176" t="s">
        <v>140</v>
      </c>
      <c r="B29" s="181">
        <v>0.1091</v>
      </c>
      <c r="C29" s="174">
        <f>H21*B29</f>
        <v>16563.295796000002</v>
      </c>
      <c r="D29" s="170"/>
      <c r="E29" s="170"/>
      <c r="F29" s="170"/>
      <c r="G29" s="170"/>
      <c r="H29" s="170"/>
    </row>
    <row r="30" spans="1:13" s="141" customFormat="1" ht="12.75" hidden="1" x14ac:dyDescent="0.2">
      <c r="A30" s="176" t="s">
        <v>139</v>
      </c>
      <c r="B30" s="181">
        <v>9.4500000000000001E-2</v>
      </c>
      <c r="C30" s="174">
        <f>H21*B30</f>
        <v>14346.759420000002</v>
      </c>
      <c r="D30" s="170"/>
      <c r="E30" s="170"/>
      <c r="F30" s="170"/>
      <c r="G30" s="170"/>
      <c r="H30" s="170"/>
    </row>
    <row r="31" spans="1:13" s="141" customFormat="1" ht="12.75" hidden="1" x14ac:dyDescent="0.2">
      <c r="A31" s="176" t="s">
        <v>138</v>
      </c>
      <c r="B31" s="182">
        <v>5.4999999999999997E-3</v>
      </c>
      <c r="C31" s="174">
        <f>H21*B31</f>
        <v>834.99658000000011</v>
      </c>
      <c r="D31" s="170"/>
      <c r="E31" s="170"/>
      <c r="F31" s="170"/>
      <c r="G31" s="170"/>
      <c r="H31" s="170"/>
    </row>
    <row r="32" spans="1:13" s="141" customFormat="1" ht="12.75" hidden="1" x14ac:dyDescent="0.2">
      <c r="A32" s="176" t="s">
        <v>137</v>
      </c>
      <c r="B32" s="181">
        <v>0</v>
      </c>
      <c r="C32" s="174">
        <f>H21*B32</f>
        <v>0</v>
      </c>
      <c r="D32" s="170"/>
      <c r="E32" s="170"/>
      <c r="F32" s="170"/>
      <c r="G32" s="170"/>
      <c r="H32" s="170"/>
    </row>
    <row r="33" spans="1:12" s="141" customFormat="1" ht="4.5" hidden="1" customHeight="1" x14ac:dyDescent="0.2">
      <c r="A33" s="176"/>
      <c r="B33" s="181"/>
      <c r="C33" s="174"/>
      <c r="D33" s="170"/>
      <c r="E33" s="170"/>
      <c r="F33" s="170"/>
      <c r="G33" s="170"/>
      <c r="H33" s="170"/>
    </row>
    <row r="34" spans="1:12" s="141" customFormat="1" ht="15.75" hidden="1" customHeight="1" x14ac:dyDescent="0.2">
      <c r="A34" s="179" t="s">
        <v>136</v>
      </c>
      <c r="B34" s="180"/>
      <c r="C34" s="177"/>
      <c r="D34" s="170"/>
      <c r="E34" s="170"/>
      <c r="F34" s="170"/>
      <c r="G34" s="170"/>
      <c r="H34" s="170"/>
    </row>
    <row r="35" spans="1:12" s="141" customFormat="1" ht="6" hidden="1" customHeight="1" x14ac:dyDescent="0.2">
      <c r="A35" s="179"/>
      <c r="B35" s="180"/>
      <c r="C35" s="177"/>
      <c r="D35" s="170"/>
      <c r="E35" s="170"/>
      <c r="F35" s="170"/>
      <c r="G35" s="170"/>
      <c r="H35" s="170"/>
    </row>
    <row r="36" spans="1:12" s="141" customFormat="1" ht="12.95" hidden="1" customHeight="1" x14ac:dyDescent="0.2">
      <c r="A36" s="176" t="s">
        <v>135</v>
      </c>
      <c r="B36" s="181">
        <v>7.9299999999999995E-2</v>
      </c>
      <c r="C36" s="174">
        <f>H21*B36</f>
        <v>12039.132508000001</v>
      </c>
      <c r="D36" s="170"/>
      <c r="E36" s="170"/>
      <c r="F36" s="170"/>
      <c r="G36" s="170"/>
      <c r="H36" s="170"/>
    </row>
    <row r="37" spans="1:12" s="141" customFormat="1" ht="6" hidden="1" customHeight="1" x14ac:dyDescent="0.2">
      <c r="A37" s="176"/>
      <c r="B37" s="181"/>
      <c r="C37" s="174"/>
      <c r="D37" s="170"/>
      <c r="E37" s="170"/>
      <c r="F37" s="170"/>
      <c r="G37" s="170"/>
      <c r="H37" s="170"/>
    </row>
    <row r="38" spans="1:12" s="141" customFormat="1" ht="15.75" hidden="1" customHeight="1" x14ac:dyDescent="0.2">
      <c r="A38" s="179" t="s">
        <v>134</v>
      </c>
      <c r="B38" s="180"/>
      <c r="C38" s="177"/>
      <c r="D38" s="170"/>
      <c r="E38" s="170"/>
      <c r="F38" s="170"/>
      <c r="G38" s="170"/>
      <c r="H38" s="170"/>
    </row>
    <row r="39" spans="1:12" s="141" customFormat="1" ht="8.25" hidden="1" customHeight="1" x14ac:dyDescent="0.2">
      <c r="A39" s="179"/>
      <c r="B39" s="178"/>
      <c r="C39" s="177"/>
      <c r="D39" s="170"/>
      <c r="E39" s="170"/>
      <c r="F39" s="170"/>
      <c r="G39" s="170"/>
      <c r="H39" s="170"/>
    </row>
    <row r="40" spans="1:12" s="141" customFormat="1" ht="12.95" hidden="1" customHeight="1" x14ac:dyDescent="0.2">
      <c r="A40" s="176" t="s">
        <v>133</v>
      </c>
      <c r="B40" s="175" t="s">
        <v>132</v>
      </c>
      <c r="C40" s="174">
        <f>50/100*C26</f>
        <v>6452.2463000000016</v>
      </c>
      <c r="D40" s="170"/>
      <c r="E40" s="170"/>
      <c r="F40" s="170"/>
      <c r="G40" s="170"/>
      <c r="H40" s="170"/>
    </row>
    <row r="41" spans="1:12" s="141" customFormat="1" ht="12.75" hidden="1" x14ac:dyDescent="0.2">
      <c r="A41" s="173"/>
      <c r="B41" s="172"/>
      <c r="C41" s="171"/>
      <c r="D41" s="170"/>
      <c r="E41" s="170"/>
      <c r="F41" s="170"/>
      <c r="G41" s="170"/>
      <c r="H41" s="170"/>
    </row>
    <row r="42" spans="1:12" s="141" customFormat="1" ht="14.25" customHeight="1" x14ac:dyDescent="0.2">
      <c r="A42" s="259" t="s">
        <v>131</v>
      </c>
      <c r="B42" s="264"/>
      <c r="C42" s="169">
        <f>SUM(C25:C41)</f>
        <v>93504.435204000009</v>
      </c>
      <c r="D42" s="168"/>
      <c r="E42" s="167"/>
      <c r="F42" s="167"/>
      <c r="G42" s="167"/>
      <c r="H42" s="166"/>
    </row>
    <row r="43" spans="1:12" s="141" customFormat="1" ht="7.5" customHeight="1" x14ac:dyDescent="0.2">
      <c r="B43" s="165"/>
    </row>
    <row r="44" spans="1:12" s="141" customFormat="1" ht="14.25" customHeight="1" x14ac:dyDescent="0.2">
      <c r="A44" s="164"/>
      <c r="C44" s="265" t="s">
        <v>130</v>
      </c>
      <c r="D44" s="265"/>
      <c r="E44" s="265"/>
      <c r="F44" s="265"/>
      <c r="G44" s="265"/>
      <c r="H44" s="261">
        <f>C42+H21</f>
        <v>245321.99520400004</v>
      </c>
      <c r="I44" s="262"/>
    </row>
    <row r="45" spans="1:12" s="141" customFormat="1" ht="15.75" x14ac:dyDescent="0.25">
      <c r="A45" s="163"/>
      <c r="F45" s="255"/>
      <c r="G45" s="256"/>
      <c r="H45" s="257"/>
      <c r="I45" s="257"/>
      <c r="J45" s="162"/>
      <c r="L45" s="159"/>
    </row>
    <row r="46" spans="1:12" s="141" customFormat="1" ht="23.25" customHeight="1" x14ac:dyDescent="0.2">
      <c r="A46" s="154"/>
      <c r="B46" s="153" t="s">
        <v>128</v>
      </c>
      <c r="C46" s="153" t="s">
        <v>127</v>
      </c>
      <c r="D46" s="146" t="s">
        <v>129</v>
      </c>
      <c r="E46" s="146" t="s">
        <v>126</v>
      </c>
      <c r="F46" s="146" t="s">
        <v>125</v>
      </c>
      <c r="G46" s="146" t="s">
        <v>124</v>
      </c>
      <c r="H46" s="161"/>
      <c r="I46" s="161"/>
      <c r="J46" s="161"/>
      <c r="K46" s="161"/>
      <c r="L46" s="160"/>
    </row>
    <row r="47" spans="1:12" s="141" customFormat="1" ht="16.5" customHeight="1" x14ac:dyDescent="0.2">
      <c r="A47" s="151" t="s">
        <v>100</v>
      </c>
      <c r="B47" s="158">
        <v>1</v>
      </c>
      <c r="C47" s="147">
        <v>20</v>
      </c>
      <c r="D47" s="146">
        <v>5.4</v>
      </c>
      <c r="E47" s="146">
        <v>12.96</v>
      </c>
      <c r="F47" s="145">
        <v>10</v>
      </c>
      <c r="G47" s="144">
        <f>(B47*C47*(D47+E47+F47))+(33*(D47+E47))</f>
        <v>1173.08</v>
      </c>
      <c r="L47" s="159"/>
    </row>
    <row r="48" spans="1:12" s="141" customFormat="1" ht="17.25" customHeight="1" x14ac:dyDescent="0.2">
      <c r="A48" s="151" t="s">
        <v>99</v>
      </c>
      <c r="B48" s="158">
        <v>0.5</v>
      </c>
      <c r="C48" s="147">
        <f>45+20</f>
        <v>65</v>
      </c>
      <c r="D48" s="146">
        <v>5.4</v>
      </c>
      <c r="E48" s="146">
        <v>12.96</v>
      </c>
      <c r="F48" s="145">
        <v>10</v>
      </c>
      <c r="G48" s="144">
        <f>(B48*C48*(D48+E48+F48))+(33*(D48+E48))</f>
        <v>1527.58</v>
      </c>
      <c r="H48" s="159"/>
    </row>
    <row r="49" spans="1:7" s="141" customFormat="1" ht="12.75" x14ac:dyDescent="0.2">
      <c r="A49" s="151" t="s">
        <v>66</v>
      </c>
      <c r="B49" s="158">
        <v>0.5</v>
      </c>
      <c r="C49" s="147">
        <v>20</v>
      </c>
      <c r="D49" s="146">
        <v>5.4</v>
      </c>
      <c r="E49" s="146">
        <v>12.96</v>
      </c>
      <c r="F49" s="145">
        <v>10</v>
      </c>
      <c r="G49" s="144">
        <f t="shared" ref="G49:G56" si="6">(B49*C49*(D49+E49+F49))</f>
        <v>283.60000000000002</v>
      </c>
    </row>
    <row r="50" spans="1:7" s="141" customFormat="1" ht="12.75" x14ac:dyDescent="0.2">
      <c r="A50" s="151" t="s">
        <v>67</v>
      </c>
      <c r="B50" s="152">
        <v>1</v>
      </c>
      <c r="C50" s="147">
        <v>20</v>
      </c>
      <c r="D50" s="146">
        <v>5.4</v>
      </c>
      <c r="E50" s="146">
        <v>12.96</v>
      </c>
      <c r="F50" s="145">
        <v>10</v>
      </c>
      <c r="G50" s="144">
        <f t="shared" si="6"/>
        <v>567.20000000000005</v>
      </c>
    </row>
    <row r="51" spans="1:7" s="141" customFormat="1" ht="16.5" customHeight="1" x14ac:dyDescent="0.2">
      <c r="A51" s="151" t="s">
        <v>68</v>
      </c>
      <c r="B51" s="150">
        <v>7</v>
      </c>
      <c r="C51" s="147">
        <v>20</v>
      </c>
      <c r="D51" s="146">
        <v>5.4</v>
      </c>
      <c r="E51" s="146">
        <v>12.96</v>
      </c>
      <c r="F51" s="145">
        <v>10</v>
      </c>
      <c r="G51" s="144">
        <f t="shared" si="6"/>
        <v>3970.4</v>
      </c>
    </row>
    <row r="52" spans="1:7" s="141" customFormat="1" ht="12.75" x14ac:dyDescent="0.2">
      <c r="A52" s="151" t="s">
        <v>69</v>
      </c>
      <c r="B52" s="150">
        <v>1</v>
      </c>
      <c r="C52" s="147">
        <v>20</v>
      </c>
      <c r="D52" s="146">
        <v>5.4</v>
      </c>
      <c r="E52" s="146">
        <v>12.96</v>
      </c>
      <c r="F52" s="145">
        <v>10</v>
      </c>
      <c r="G52" s="144">
        <f t="shared" si="6"/>
        <v>567.20000000000005</v>
      </c>
    </row>
    <row r="53" spans="1:7" s="141" customFormat="1" ht="12.75" x14ac:dyDescent="0.2">
      <c r="A53" s="151" t="s">
        <v>70</v>
      </c>
      <c r="B53" s="150">
        <v>8</v>
      </c>
      <c r="C53" s="147">
        <v>20</v>
      </c>
      <c r="D53" s="146">
        <v>5.4</v>
      </c>
      <c r="E53" s="146">
        <v>12.96</v>
      </c>
      <c r="F53" s="145">
        <v>10</v>
      </c>
      <c r="G53" s="144">
        <f t="shared" si="6"/>
        <v>4537.6000000000004</v>
      </c>
    </row>
    <row r="54" spans="1:7" s="141" customFormat="1" ht="12.75" x14ac:dyDescent="0.2">
      <c r="A54" s="151" t="s">
        <v>108</v>
      </c>
      <c r="B54" s="150">
        <v>1</v>
      </c>
      <c r="C54" s="147">
        <v>20</v>
      </c>
      <c r="D54" s="146">
        <v>5.4</v>
      </c>
      <c r="E54" s="146">
        <v>12.96</v>
      </c>
      <c r="F54" s="145">
        <v>10</v>
      </c>
      <c r="G54" s="144">
        <f t="shared" si="6"/>
        <v>567.20000000000005</v>
      </c>
    </row>
    <row r="55" spans="1:7" s="141" customFormat="1" ht="12.75" x14ac:dyDescent="0.2">
      <c r="A55" s="151" t="s">
        <v>71</v>
      </c>
      <c r="B55" s="150">
        <v>1</v>
      </c>
      <c r="C55" s="147">
        <v>20</v>
      </c>
      <c r="D55" s="146">
        <v>5.4</v>
      </c>
      <c r="E55" s="146">
        <v>12.96</v>
      </c>
      <c r="F55" s="145">
        <v>10</v>
      </c>
      <c r="G55" s="144">
        <f t="shared" si="6"/>
        <v>567.20000000000005</v>
      </c>
    </row>
    <row r="56" spans="1:7" s="141" customFormat="1" ht="12.75" x14ac:dyDescent="0.2">
      <c r="A56" s="149" t="s">
        <v>86</v>
      </c>
      <c r="B56" s="148">
        <v>1</v>
      </c>
      <c r="C56" s="147">
        <v>20</v>
      </c>
      <c r="D56" s="146">
        <v>5.4</v>
      </c>
      <c r="E56" s="146">
        <v>12.96</v>
      </c>
      <c r="F56" s="145">
        <v>10</v>
      </c>
      <c r="G56" s="144">
        <f t="shared" si="6"/>
        <v>567.20000000000005</v>
      </c>
    </row>
    <row r="57" spans="1:7" s="141" customFormat="1" x14ac:dyDescent="0.2">
      <c r="A57" s="157"/>
      <c r="B57" s="156"/>
      <c r="C57" s="155"/>
      <c r="G57" s="143">
        <f>SUM(G47:G56)</f>
        <v>14328.260000000002</v>
      </c>
    </row>
    <row r="58" spans="1:7" s="141" customFormat="1" ht="12.75" x14ac:dyDescent="0.2"/>
    <row r="59" spans="1:7" s="141" customFormat="1" x14ac:dyDescent="0.2">
      <c r="A59" s="154"/>
      <c r="B59" s="153" t="s">
        <v>128</v>
      </c>
      <c r="C59" s="153" t="s">
        <v>127</v>
      </c>
      <c r="D59" s="146" t="s">
        <v>125</v>
      </c>
      <c r="E59" s="146" t="s">
        <v>126</v>
      </c>
      <c r="F59" s="146" t="s">
        <v>125</v>
      </c>
      <c r="G59" s="146" t="s">
        <v>124</v>
      </c>
    </row>
    <row r="60" spans="1:7" s="141" customFormat="1" ht="12.75" x14ac:dyDescent="0.2">
      <c r="A60" s="151" t="s">
        <v>67</v>
      </c>
      <c r="B60" s="152">
        <v>0</v>
      </c>
      <c r="C60" s="147">
        <v>20</v>
      </c>
      <c r="D60" s="145">
        <v>10</v>
      </c>
      <c r="E60" s="146">
        <v>12.96</v>
      </c>
      <c r="F60" s="145">
        <v>10</v>
      </c>
      <c r="G60" s="144">
        <f t="shared" ref="G60:G65" si="7">(B60*C60*(D60+E60+F60))</f>
        <v>0</v>
      </c>
    </row>
    <row r="61" spans="1:7" s="141" customFormat="1" ht="12.75" x14ac:dyDescent="0.2">
      <c r="A61" s="151" t="s">
        <v>68</v>
      </c>
      <c r="B61" s="150">
        <v>7</v>
      </c>
      <c r="C61" s="147">
        <v>20</v>
      </c>
      <c r="D61" s="145">
        <v>10</v>
      </c>
      <c r="E61" s="146">
        <v>12.96</v>
      </c>
      <c r="F61" s="145">
        <v>10</v>
      </c>
      <c r="G61" s="144">
        <f t="shared" si="7"/>
        <v>4614.4000000000005</v>
      </c>
    </row>
    <row r="62" spans="1:7" s="141" customFormat="1" ht="12.75" x14ac:dyDescent="0.2">
      <c r="A62" s="151" t="s">
        <v>69</v>
      </c>
      <c r="B62" s="150">
        <v>1</v>
      </c>
      <c r="C62" s="147">
        <v>20</v>
      </c>
      <c r="D62" s="145">
        <v>10</v>
      </c>
      <c r="E62" s="146">
        <v>12.96</v>
      </c>
      <c r="F62" s="145">
        <v>10</v>
      </c>
      <c r="G62" s="144">
        <f t="shared" si="7"/>
        <v>659.2</v>
      </c>
    </row>
    <row r="63" spans="1:7" s="141" customFormat="1" ht="12.75" x14ac:dyDescent="0.2">
      <c r="A63" s="151" t="s">
        <v>70</v>
      </c>
      <c r="B63" s="150">
        <v>8</v>
      </c>
      <c r="C63" s="147">
        <v>20</v>
      </c>
      <c r="D63" s="145">
        <v>10</v>
      </c>
      <c r="E63" s="146">
        <v>12.96</v>
      </c>
      <c r="F63" s="145">
        <v>10</v>
      </c>
      <c r="G63" s="144">
        <f t="shared" si="7"/>
        <v>5273.6</v>
      </c>
    </row>
    <row r="64" spans="1:7" s="141" customFormat="1" ht="12.75" x14ac:dyDescent="0.2">
      <c r="A64" s="151" t="s">
        <v>71</v>
      </c>
      <c r="B64" s="150">
        <v>1</v>
      </c>
      <c r="C64" s="147">
        <v>20</v>
      </c>
      <c r="D64" s="145">
        <v>10</v>
      </c>
      <c r="E64" s="146">
        <v>12.96</v>
      </c>
      <c r="F64" s="145">
        <v>10</v>
      </c>
      <c r="G64" s="144">
        <f t="shared" si="7"/>
        <v>659.2</v>
      </c>
    </row>
    <row r="65" spans="1:7" s="141" customFormat="1" ht="12.75" x14ac:dyDescent="0.2">
      <c r="A65" s="149" t="s">
        <v>86</v>
      </c>
      <c r="B65" s="148">
        <v>1</v>
      </c>
      <c r="C65" s="147">
        <v>20</v>
      </c>
      <c r="D65" s="145">
        <v>10</v>
      </c>
      <c r="E65" s="146">
        <v>12.96</v>
      </c>
      <c r="F65" s="145">
        <v>10</v>
      </c>
      <c r="G65" s="144">
        <f t="shared" si="7"/>
        <v>659.2</v>
      </c>
    </row>
    <row r="66" spans="1:7" s="141" customFormat="1" ht="12.75" x14ac:dyDescent="0.2">
      <c r="G66" s="143">
        <f>SUM(G60:G65)</f>
        <v>11865.600000000002</v>
      </c>
    </row>
    <row r="67" spans="1:7" s="141" customFormat="1" ht="12.75" x14ac:dyDescent="0.2">
      <c r="G67" s="142">
        <f>G57+G66</f>
        <v>26193.860000000004</v>
      </c>
    </row>
    <row r="68" spans="1:7" s="141" customFormat="1" ht="12.75" x14ac:dyDescent="0.2"/>
    <row r="69" spans="1:7" s="141" customFormat="1" ht="12.75" x14ac:dyDescent="0.2"/>
    <row r="70" spans="1:7" s="141" customFormat="1" ht="12.75" x14ac:dyDescent="0.2"/>
    <row r="71" spans="1:7" s="141" customFormat="1" ht="12.75" x14ac:dyDescent="0.2"/>
    <row r="72" spans="1:7" s="141" customFormat="1" ht="12.75" x14ac:dyDescent="0.2"/>
    <row r="73" spans="1:7" s="141" customFormat="1" ht="12.75" x14ac:dyDescent="0.2"/>
    <row r="74" spans="1:7" s="141" customFormat="1" ht="12.75" x14ac:dyDescent="0.2"/>
  </sheetData>
  <mergeCells count="9">
    <mergeCell ref="F45:G45"/>
    <mergeCell ref="H45:I45"/>
    <mergeCell ref="A3:I3"/>
    <mergeCell ref="C21:G21"/>
    <mergeCell ref="H21:I21"/>
    <mergeCell ref="H24:I24"/>
    <mergeCell ref="A42:B42"/>
    <mergeCell ref="C44:G44"/>
    <mergeCell ref="H44:I44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"/>
  <sheetViews>
    <sheetView showGridLines="0" view="pageBreakPreview" topLeftCell="A151" zoomScale="90" zoomScaleNormal="100" zoomScaleSheetLayoutView="90" workbookViewId="0">
      <selection activeCell="E171" sqref="E171"/>
    </sheetView>
  </sheetViews>
  <sheetFormatPr defaultRowHeight="15" x14ac:dyDescent="0.25"/>
  <cols>
    <col min="1" max="1" width="50.42578125" customWidth="1"/>
    <col min="2" max="2" width="13.140625" customWidth="1"/>
    <col min="3" max="3" width="24.28515625" customWidth="1"/>
    <col min="4" max="4" width="12" customWidth="1"/>
    <col min="5" max="5" width="18.28515625" customWidth="1"/>
    <col min="8" max="8" width="12.140625" bestFit="1" customWidth="1"/>
  </cols>
  <sheetData>
    <row r="1" spans="1:5" ht="7.5" customHeight="1" thickBot="1" x14ac:dyDescent="0.3">
      <c r="A1">
        <v>4</v>
      </c>
    </row>
    <row r="2" spans="1:5" ht="24.75" customHeight="1" thickBot="1" x14ac:dyDescent="0.3">
      <c r="A2" s="252" t="s">
        <v>64</v>
      </c>
      <c r="B2" s="253"/>
      <c r="C2" s="253"/>
      <c r="D2" s="253"/>
      <c r="E2" s="254"/>
    </row>
    <row r="4" spans="1:5" x14ac:dyDescent="0.25">
      <c r="A4" s="49" t="s">
        <v>0</v>
      </c>
      <c r="B4" s="47" t="s">
        <v>1</v>
      </c>
      <c r="C4" s="47"/>
      <c r="D4" s="47"/>
      <c r="E4" s="47"/>
    </row>
    <row r="5" spans="1:5" x14ac:dyDescent="0.25">
      <c r="A5" s="2"/>
      <c r="B5" s="2"/>
      <c r="C5" s="2"/>
      <c r="D5" s="2"/>
      <c r="E5" s="2"/>
    </row>
    <row r="6" spans="1:5" x14ac:dyDescent="0.25">
      <c r="A6" s="6" t="s">
        <v>2</v>
      </c>
      <c r="B6" s="2"/>
      <c r="C6" s="2"/>
      <c r="D6" s="2"/>
      <c r="E6" s="2"/>
    </row>
    <row r="7" spans="1:5" ht="38.25" x14ac:dyDescent="0.25">
      <c r="A7" s="33" t="s">
        <v>3</v>
      </c>
      <c r="B7" s="33" t="s">
        <v>4</v>
      </c>
      <c r="C7" s="33" t="s">
        <v>5</v>
      </c>
      <c r="D7" s="33" t="s">
        <v>6</v>
      </c>
      <c r="E7" s="33" t="s">
        <v>7</v>
      </c>
    </row>
    <row r="8" spans="1:5" x14ac:dyDescent="0.25">
      <c r="A8" s="83" t="s">
        <v>99</v>
      </c>
      <c r="B8" s="35">
        <f>20+45</f>
        <v>65</v>
      </c>
      <c r="C8" s="36">
        <v>466.82456140350877</v>
      </c>
      <c r="D8" s="37">
        <v>0.5</v>
      </c>
      <c r="E8" s="57">
        <v>6527.4</v>
      </c>
    </row>
    <row r="9" spans="1:5" x14ac:dyDescent="0.25">
      <c r="A9" s="34" t="s">
        <v>66</v>
      </c>
      <c r="B9" s="35">
        <v>20</v>
      </c>
      <c r="C9" s="36">
        <v>987.8058666666667</v>
      </c>
      <c r="D9" s="37">
        <v>0.5</v>
      </c>
      <c r="E9" s="57">
        <v>11297</v>
      </c>
    </row>
    <row r="10" spans="1:5" x14ac:dyDescent="0.25">
      <c r="A10" s="83" t="s">
        <v>67</v>
      </c>
      <c r="B10" s="35">
        <v>20</v>
      </c>
      <c r="C10" s="36">
        <v>601.85926666666649</v>
      </c>
      <c r="D10" s="37">
        <v>1</v>
      </c>
      <c r="E10" s="57">
        <v>6687.8239999999987</v>
      </c>
    </row>
    <row r="11" spans="1:5" x14ac:dyDescent="0.25">
      <c r="A11" s="34" t="s">
        <v>86</v>
      </c>
      <c r="B11" s="35">
        <v>20</v>
      </c>
      <c r="C11" s="36">
        <v>553.05986666666661</v>
      </c>
      <c r="D11" s="37">
        <v>2</v>
      </c>
      <c r="E11" s="57">
        <v>13309.504000000001</v>
      </c>
    </row>
    <row r="12" spans="1:5" x14ac:dyDescent="0.25">
      <c r="A12" s="34" t="s">
        <v>68</v>
      </c>
      <c r="B12" s="35">
        <v>20</v>
      </c>
      <c r="C12" s="36">
        <v>315.63201666666669</v>
      </c>
      <c r="D12" s="37">
        <v>10</v>
      </c>
      <c r="E12" s="57">
        <v>39107.96</v>
      </c>
    </row>
    <row r="13" spans="1:5" x14ac:dyDescent="0.25">
      <c r="A13" s="34" t="s">
        <v>69</v>
      </c>
      <c r="B13" s="35">
        <v>20</v>
      </c>
      <c r="C13" s="36">
        <v>295.92456666666669</v>
      </c>
      <c r="D13" s="37">
        <v>2</v>
      </c>
      <c r="E13" s="57">
        <v>7121.4880000000012</v>
      </c>
    </row>
    <row r="14" spans="1:5" x14ac:dyDescent="0.25">
      <c r="A14" s="34" t="s">
        <v>70</v>
      </c>
      <c r="B14" s="35">
        <v>20</v>
      </c>
      <c r="C14" s="36">
        <v>164.85438333333332</v>
      </c>
      <c r="D14" s="37">
        <v>14</v>
      </c>
      <c r="E14" s="57">
        <v>30036.720000000001</v>
      </c>
    </row>
    <row r="15" spans="1:5" x14ac:dyDescent="0.25">
      <c r="A15" s="83" t="s">
        <v>108</v>
      </c>
      <c r="B15" s="35">
        <v>20</v>
      </c>
      <c r="C15" s="36">
        <v>164.85438333333332</v>
      </c>
      <c r="D15" s="37">
        <v>1</v>
      </c>
      <c r="E15" s="57">
        <v>3183.3440000000005</v>
      </c>
    </row>
    <row r="16" spans="1:5" x14ac:dyDescent="0.25">
      <c r="A16" s="34" t="s">
        <v>71</v>
      </c>
      <c r="B16" s="35">
        <v>20</v>
      </c>
      <c r="C16" s="36">
        <v>295.92456666666669</v>
      </c>
      <c r="D16" s="37">
        <v>2</v>
      </c>
      <c r="E16" s="57">
        <v>7121.4880000000012</v>
      </c>
    </row>
    <row r="17" spans="1:5" x14ac:dyDescent="0.25">
      <c r="A17" s="34"/>
      <c r="B17" s="35"/>
      <c r="C17" s="36"/>
      <c r="D17" s="37"/>
      <c r="E17" s="57">
        <f t="shared" ref="E17:E22" si="0">C17*B17*D17</f>
        <v>0</v>
      </c>
    </row>
    <row r="18" spans="1:5" x14ac:dyDescent="0.25">
      <c r="A18" s="34"/>
      <c r="B18" s="35"/>
      <c r="C18" s="36"/>
      <c r="D18" s="37"/>
      <c r="E18" s="57">
        <f t="shared" si="0"/>
        <v>0</v>
      </c>
    </row>
    <row r="19" spans="1:5" x14ac:dyDescent="0.25">
      <c r="A19" s="34"/>
      <c r="B19" s="35"/>
      <c r="C19" s="36"/>
      <c r="D19" s="37"/>
      <c r="E19" s="57">
        <f t="shared" si="0"/>
        <v>0</v>
      </c>
    </row>
    <row r="20" spans="1:5" x14ac:dyDescent="0.25">
      <c r="A20" s="34"/>
      <c r="B20" s="35"/>
      <c r="C20" s="36"/>
      <c r="D20" s="37"/>
      <c r="E20" s="57">
        <f t="shared" si="0"/>
        <v>0</v>
      </c>
    </row>
    <row r="21" spans="1:5" x14ac:dyDescent="0.25">
      <c r="A21" s="34"/>
      <c r="B21" s="35"/>
      <c r="C21" s="36"/>
      <c r="D21" s="37"/>
      <c r="E21" s="57">
        <f t="shared" si="0"/>
        <v>0</v>
      </c>
    </row>
    <row r="22" spans="1:5" x14ac:dyDescent="0.25">
      <c r="A22" s="34"/>
      <c r="B22" s="35"/>
      <c r="C22" s="36"/>
      <c r="D22" s="111"/>
      <c r="E22" s="112">
        <f t="shared" si="0"/>
        <v>0</v>
      </c>
    </row>
    <row r="23" spans="1:5" x14ac:dyDescent="0.25">
      <c r="A23" s="25" t="s">
        <v>8</v>
      </c>
      <c r="B23" s="23"/>
      <c r="C23" s="24"/>
      <c r="D23" s="26"/>
      <c r="E23" s="58">
        <f>SUM(E8:E22)</f>
        <v>124392.72799999999</v>
      </c>
    </row>
    <row r="24" spans="1:5" x14ac:dyDescent="0.25">
      <c r="A24" s="54" t="s">
        <v>9</v>
      </c>
      <c r="B24" s="55"/>
      <c r="C24" s="55"/>
      <c r="D24" s="56"/>
      <c r="E24" s="59">
        <f>E23*30%</f>
        <v>37317.818399999996</v>
      </c>
    </row>
    <row r="25" spans="1:5" x14ac:dyDescent="0.25">
      <c r="A25" s="20"/>
      <c r="B25" s="3"/>
      <c r="C25" s="22"/>
      <c r="D25" s="21"/>
      <c r="E25" s="21"/>
    </row>
    <row r="26" spans="1:5" x14ac:dyDescent="0.25">
      <c r="A26" s="2"/>
      <c r="B26" s="2"/>
      <c r="C26" s="73"/>
      <c r="D26" s="73" t="s">
        <v>10</v>
      </c>
      <c r="E26" s="74">
        <f>E23+E24</f>
        <v>161710.54639999999</v>
      </c>
    </row>
    <row r="27" spans="1:5" x14ac:dyDescent="0.25">
      <c r="A27" s="2"/>
      <c r="B27" s="2"/>
      <c r="C27" s="2"/>
      <c r="D27" s="2"/>
      <c r="E27" s="2"/>
    </row>
    <row r="28" spans="1:5" x14ac:dyDescent="0.25">
      <c r="A28" s="6" t="s">
        <v>11</v>
      </c>
      <c r="B28" s="2"/>
      <c r="C28" s="2"/>
      <c r="D28" s="2"/>
    </row>
    <row r="29" spans="1:5" x14ac:dyDescent="0.25">
      <c r="A29" s="42" t="s">
        <v>12</v>
      </c>
      <c r="B29" s="42" t="s">
        <v>13</v>
      </c>
      <c r="C29" s="42" t="s">
        <v>14</v>
      </c>
      <c r="D29" s="8"/>
    </row>
    <row r="30" spans="1:5" x14ac:dyDescent="0.25">
      <c r="A30" s="66"/>
      <c r="B30" s="66"/>
      <c r="C30" s="66"/>
      <c r="D30" s="1"/>
    </row>
    <row r="31" spans="1:5" x14ac:dyDescent="0.25">
      <c r="A31" s="67" t="s">
        <v>15</v>
      </c>
      <c r="B31" s="68">
        <v>0.85</v>
      </c>
      <c r="C31" s="70">
        <f>E26*B31</f>
        <v>137453.96443999998</v>
      </c>
      <c r="D31" s="9"/>
      <c r="E31" s="2"/>
    </row>
    <row r="32" spans="1:5" x14ac:dyDescent="0.25">
      <c r="A32" s="2"/>
      <c r="B32" s="8"/>
      <c r="C32" s="2"/>
      <c r="D32" s="2"/>
      <c r="E32" s="2"/>
    </row>
    <row r="33" spans="1:5" x14ac:dyDescent="0.25">
      <c r="A33" s="10"/>
      <c r="B33" s="2"/>
      <c r="C33" s="75"/>
      <c r="D33" s="76" t="s">
        <v>16</v>
      </c>
      <c r="E33" s="77">
        <f>E26+C31</f>
        <v>299164.51084</v>
      </c>
    </row>
    <row r="34" spans="1:5" x14ac:dyDescent="0.25">
      <c r="A34" s="31" t="s">
        <v>17</v>
      </c>
      <c r="B34" s="2"/>
      <c r="C34" s="2"/>
      <c r="D34" s="2"/>
      <c r="E34" s="2"/>
    </row>
    <row r="35" spans="1:5" ht="25.5" x14ac:dyDescent="0.25">
      <c r="A35" s="33" t="s">
        <v>18</v>
      </c>
      <c r="B35" s="44" t="s">
        <v>19</v>
      </c>
      <c r="C35" s="44" t="s">
        <v>20</v>
      </c>
      <c r="D35" s="69" t="s">
        <v>21</v>
      </c>
      <c r="E35" s="2"/>
    </row>
    <row r="36" spans="1:5" x14ac:dyDescent="0.25">
      <c r="A36" s="95" t="s">
        <v>88</v>
      </c>
      <c r="B36" s="90">
        <v>1</v>
      </c>
      <c r="C36" s="87">
        <f>1400*1.2</f>
        <v>1680</v>
      </c>
      <c r="D36" s="94">
        <f>C36*B36</f>
        <v>1680</v>
      </c>
      <c r="E36" s="96"/>
    </row>
    <row r="37" spans="1:5" x14ac:dyDescent="0.25">
      <c r="A37" s="95" t="s">
        <v>76</v>
      </c>
      <c r="B37" s="90">
        <v>2</v>
      </c>
      <c r="C37" s="87">
        <f>1000*1.2</f>
        <v>1200</v>
      </c>
      <c r="D37" s="94">
        <f t="shared" ref="D37:D44" si="1">C37*B37</f>
        <v>2400</v>
      </c>
      <c r="E37" s="96"/>
    </row>
    <row r="38" spans="1:5" x14ac:dyDescent="0.25">
      <c r="A38" s="95" t="s">
        <v>89</v>
      </c>
      <c r="B38" s="90">
        <v>10</v>
      </c>
      <c r="C38" s="87">
        <v>600</v>
      </c>
      <c r="D38" s="94">
        <f t="shared" si="1"/>
        <v>6000</v>
      </c>
      <c r="E38" s="96"/>
    </row>
    <row r="39" spans="1:5" x14ac:dyDescent="0.25">
      <c r="A39" s="95" t="s">
        <v>90</v>
      </c>
      <c r="B39" s="90">
        <v>1</v>
      </c>
      <c r="C39" s="87">
        <f>110*1.2</f>
        <v>132</v>
      </c>
      <c r="D39" s="94">
        <f t="shared" si="1"/>
        <v>132</v>
      </c>
      <c r="E39" s="96"/>
    </row>
    <row r="40" spans="1:5" x14ac:dyDescent="0.25">
      <c r="A40" s="95" t="s">
        <v>91</v>
      </c>
      <c r="B40" s="90">
        <v>1</v>
      </c>
      <c r="C40" s="87">
        <f>110*1.2</f>
        <v>132</v>
      </c>
      <c r="D40" s="94">
        <f t="shared" si="1"/>
        <v>132</v>
      </c>
      <c r="E40" s="96"/>
    </row>
    <row r="41" spans="1:5" x14ac:dyDescent="0.25">
      <c r="A41" s="95" t="s">
        <v>92</v>
      </c>
      <c r="B41" s="90">
        <v>6</v>
      </c>
      <c r="C41" s="87">
        <f>250*1.2</f>
        <v>300</v>
      </c>
      <c r="D41" s="94">
        <f t="shared" si="1"/>
        <v>1800</v>
      </c>
      <c r="E41" s="96"/>
    </row>
    <row r="42" spans="1:5" x14ac:dyDescent="0.25">
      <c r="A42" s="95" t="s">
        <v>78</v>
      </c>
      <c r="B42" s="90" t="s">
        <v>77</v>
      </c>
      <c r="C42" s="87">
        <v>7800</v>
      </c>
      <c r="D42" s="94">
        <f>C42</f>
        <v>7800</v>
      </c>
      <c r="E42" s="96"/>
    </row>
    <row r="43" spans="1:5" x14ac:dyDescent="0.25">
      <c r="A43" s="95" t="s">
        <v>79</v>
      </c>
      <c r="B43" s="90">
        <v>4</v>
      </c>
      <c r="C43" s="87">
        <v>1200</v>
      </c>
      <c r="D43" s="94">
        <f t="shared" si="1"/>
        <v>4800</v>
      </c>
      <c r="E43" s="96"/>
    </row>
    <row r="44" spans="1:5" x14ac:dyDescent="0.25">
      <c r="A44" s="95" t="s">
        <v>80</v>
      </c>
      <c r="B44" s="90">
        <v>20</v>
      </c>
      <c r="C44" s="87">
        <v>180</v>
      </c>
      <c r="D44" s="94">
        <f t="shared" si="1"/>
        <v>3600</v>
      </c>
      <c r="E44" s="96"/>
    </row>
    <row r="45" spans="1:5" x14ac:dyDescent="0.25">
      <c r="A45" s="95" t="s">
        <v>93</v>
      </c>
      <c r="B45" s="90" t="s">
        <v>101</v>
      </c>
      <c r="C45" s="87">
        <v>6000</v>
      </c>
      <c r="D45" s="94">
        <f>C45</f>
        <v>6000</v>
      </c>
      <c r="E45" s="96"/>
    </row>
    <row r="46" spans="1:5" x14ac:dyDescent="0.25">
      <c r="A46" s="95" t="s">
        <v>94</v>
      </c>
      <c r="B46" s="90" t="s">
        <v>101</v>
      </c>
      <c r="C46" s="87">
        <v>7000</v>
      </c>
      <c r="D46" s="94">
        <f>C46</f>
        <v>7000</v>
      </c>
      <c r="E46" s="96"/>
    </row>
    <row r="47" spans="1:5" x14ac:dyDescent="0.25">
      <c r="A47" s="95" t="s">
        <v>95</v>
      </c>
      <c r="B47" s="90">
        <v>1</v>
      </c>
      <c r="C47" s="87">
        <v>800</v>
      </c>
      <c r="D47" s="94">
        <f>C47*B47</f>
        <v>800</v>
      </c>
      <c r="E47" s="96"/>
    </row>
    <row r="48" spans="1:5" x14ac:dyDescent="0.25">
      <c r="A48" s="95" t="s">
        <v>102</v>
      </c>
      <c r="B48" s="90">
        <v>1</v>
      </c>
      <c r="C48" s="87">
        <v>480</v>
      </c>
      <c r="D48" s="94">
        <f>C48*B48</f>
        <v>480</v>
      </c>
      <c r="E48" s="96"/>
    </row>
    <row r="49" spans="1:7" x14ac:dyDescent="0.25">
      <c r="A49" s="95" t="s">
        <v>103</v>
      </c>
      <c r="B49" s="90">
        <v>2</v>
      </c>
      <c r="C49" s="87">
        <v>900</v>
      </c>
      <c r="D49" s="94">
        <f>C49*B49</f>
        <v>1800</v>
      </c>
      <c r="E49" s="2"/>
    </row>
    <row r="50" spans="1:7" x14ac:dyDescent="0.25">
      <c r="A50" s="95" t="s">
        <v>104</v>
      </c>
      <c r="B50" s="90">
        <v>1</v>
      </c>
      <c r="C50" s="87">
        <v>900</v>
      </c>
      <c r="D50" s="94">
        <f>C50*B50</f>
        <v>900</v>
      </c>
      <c r="E50" s="2"/>
    </row>
    <row r="51" spans="1:7" x14ac:dyDescent="0.25">
      <c r="A51" s="95" t="s">
        <v>98</v>
      </c>
      <c r="B51" s="40">
        <v>1</v>
      </c>
      <c r="C51" s="41">
        <f>200*1.2</f>
        <v>240</v>
      </c>
      <c r="D51" s="61">
        <f>C51*B51</f>
        <v>240</v>
      </c>
    </row>
    <row r="52" spans="1:7" x14ac:dyDescent="0.25">
      <c r="A52" s="5"/>
      <c r="B52" s="2"/>
      <c r="C52" s="48" t="s">
        <v>22</v>
      </c>
      <c r="D52" s="60">
        <f>SUM(D36:D51)</f>
        <v>45564</v>
      </c>
    </row>
    <row r="53" spans="1:7" x14ac:dyDescent="0.25">
      <c r="A53" s="31" t="s">
        <v>23</v>
      </c>
      <c r="B53" s="2"/>
      <c r="C53" s="2"/>
      <c r="D53" s="2"/>
    </row>
    <row r="54" spans="1:7" ht="25.5" x14ac:dyDescent="0.25">
      <c r="A54" s="42" t="s">
        <v>18</v>
      </c>
      <c r="B54" s="43" t="s">
        <v>19</v>
      </c>
      <c r="C54" s="38" t="s">
        <v>20</v>
      </c>
      <c r="D54" s="69" t="s">
        <v>21</v>
      </c>
    </row>
    <row r="55" spans="1:7" x14ac:dyDescent="0.25">
      <c r="A55" s="85" t="s">
        <v>24</v>
      </c>
      <c r="B55" s="86" t="s">
        <v>77</v>
      </c>
      <c r="C55" s="87">
        <v>4500</v>
      </c>
      <c r="D55" s="88">
        <f>C55</f>
        <v>4500</v>
      </c>
    </row>
    <row r="56" spans="1:7" x14ac:dyDescent="0.25">
      <c r="A56" s="89" t="s">
        <v>25</v>
      </c>
      <c r="B56" s="90" t="s">
        <v>77</v>
      </c>
      <c r="C56" s="87">
        <f>28*200</f>
        <v>5600</v>
      </c>
      <c r="D56" s="91">
        <f>C56</f>
        <v>5600</v>
      </c>
    </row>
    <row r="57" spans="1:7" x14ac:dyDescent="0.25">
      <c r="A57" s="92" t="s">
        <v>87</v>
      </c>
      <c r="B57" s="93" t="s">
        <v>77</v>
      </c>
      <c r="C57" s="87">
        <v>8000</v>
      </c>
      <c r="D57" s="94">
        <f>C57</f>
        <v>8000</v>
      </c>
    </row>
    <row r="58" spans="1:7" x14ac:dyDescent="0.25">
      <c r="A58" s="115" t="s">
        <v>105</v>
      </c>
      <c r="B58" s="116" t="s">
        <v>77</v>
      </c>
      <c r="C58" s="87">
        <v>60000</v>
      </c>
      <c r="D58" s="94">
        <f>C58</f>
        <v>60000</v>
      </c>
    </row>
    <row r="59" spans="1:7" x14ac:dyDescent="0.25">
      <c r="A59" s="5"/>
      <c r="B59" s="2"/>
      <c r="C59" s="48" t="s">
        <v>26</v>
      </c>
      <c r="D59" s="60">
        <f>SUM(D55:D58)</f>
        <v>78100</v>
      </c>
    </row>
    <row r="60" spans="1:7" x14ac:dyDescent="0.25">
      <c r="A60" s="6" t="s">
        <v>27</v>
      </c>
      <c r="B60" s="2"/>
      <c r="C60" s="2"/>
      <c r="D60" s="2"/>
    </row>
    <row r="61" spans="1:7" ht="25.5" x14ac:dyDescent="0.25">
      <c r="A61" s="33" t="s">
        <v>18</v>
      </c>
      <c r="B61" s="33" t="s">
        <v>28</v>
      </c>
      <c r="C61" s="33" t="s">
        <v>29</v>
      </c>
      <c r="D61" s="69" t="s">
        <v>21</v>
      </c>
    </row>
    <row r="62" spans="1:7" x14ac:dyDescent="0.25">
      <c r="A62" s="97" t="s">
        <v>30</v>
      </c>
      <c r="B62" s="98">
        <v>33</v>
      </c>
      <c r="C62" s="87">
        <v>450</v>
      </c>
      <c r="D62" s="99">
        <f>C62*B62+(500*2)</f>
        <v>15850</v>
      </c>
      <c r="E62" s="1"/>
      <c r="F62" s="1"/>
      <c r="G62" s="1"/>
    </row>
    <row r="63" spans="1:7" x14ac:dyDescent="0.25">
      <c r="A63" s="97" t="s">
        <v>72</v>
      </c>
      <c r="B63" s="98">
        <v>33</v>
      </c>
      <c r="C63" s="87">
        <v>200</v>
      </c>
      <c r="D63" s="99">
        <f t="shared" ref="D63:D67" si="2">C63*B63</f>
        <v>6600</v>
      </c>
      <c r="E63" s="1"/>
      <c r="F63" s="1"/>
      <c r="G63" s="1"/>
    </row>
    <row r="64" spans="1:7" x14ac:dyDescent="0.25">
      <c r="A64" s="97" t="s">
        <v>73</v>
      </c>
      <c r="B64" s="98">
        <v>33</v>
      </c>
      <c r="C64" s="87">
        <f>40.1*1.2</f>
        <v>48.12</v>
      </c>
      <c r="D64" s="99">
        <f t="shared" si="2"/>
        <v>1587.9599999999998</v>
      </c>
      <c r="E64" s="1"/>
      <c r="F64" s="1"/>
      <c r="G64" s="1"/>
    </row>
    <row r="65" spans="1:7" x14ac:dyDescent="0.25">
      <c r="A65" s="97" t="s">
        <v>96</v>
      </c>
      <c r="B65" s="98" t="s">
        <v>77</v>
      </c>
      <c r="C65" s="87">
        <f>33*100*2</f>
        <v>6600</v>
      </c>
      <c r="D65" s="99">
        <f>C65</f>
        <v>6600</v>
      </c>
      <c r="E65" s="1"/>
      <c r="F65" s="1"/>
      <c r="G65" s="1"/>
    </row>
    <row r="66" spans="1:7" x14ac:dyDescent="0.25">
      <c r="A66" s="97" t="s">
        <v>97</v>
      </c>
      <c r="B66" s="98" t="s">
        <v>77</v>
      </c>
      <c r="C66" s="87">
        <f>(0.4*33*470)+(0.6*33*235)</f>
        <v>10857</v>
      </c>
      <c r="D66" s="99">
        <f>C66</f>
        <v>10857</v>
      </c>
      <c r="E66" s="1"/>
      <c r="F66" s="1"/>
      <c r="G66" s="1"/>
    </row>
    <row r="67" spans="1:7" x14ac:dyDescent="0.25">
      <c r="A67" s="97" t="s">
        <v>74</v>
      </c>
      <c r="B67" s="98">
        <v>33</v>
      </c>
      <c r="C67" s="87">
        <v>485.23</v>
      </c>
      <c r="D67" s="99">
        <f t="shared" si="2"/>
        <v>16012.59</v>
      </c>
      <c r="E67" s="1"/>
      <c r="F67" s="1"/>
      <c r="G67" s="1"/>
    </row>
    <row r="68" spans="1:7" x14ac:dyDescent="0.25">
      <c r="A68" s="97" t="s">
        <v>75</v>
      </c>
      <c r="B68" s="98" t="s">
        <v>77</v>
      </c>
      <c r="C68" s="87">
        <f>33*2*20*4</f>
        <v>5280</v>
      </c>
      <c r="D68" s="99">
        <f t="shared" ref="D68" si="3">C68</f>
        <v>5280</v>
      </c>
      <c r="E68" s="1"/>
      <c r="F68" s="1"/>
      <c r="G68" s="1"/>
    </row>
    <row r="69" spans="1:7" x14ac:dyDescent="0.25">
      <c r="A69" s="118" t="s">
        <v>109</v>
      </c>
      <c r="B69" s="98" t="s">
        <v>77</v>
      </c>
      <c r="C69" s="87">
        <v>6968.1600000000008</v>
      </c>
      <c r="D69" s="99">
        <f>C69</f>
        <v>6968.1600000000008</v>
      </c>
      <c r="E69" s="1"/>
      <c r="F69" s="1"/>
      <c r="G69" s="1"/>
    </row>
    <row r="70" spans="1:7" x14ac:dyDescent="0.25">
      <c r="A70" s="118" t="s">
        <v>106</v>
      </c>
      <c r="B70" s="98" t="s">
        <v>77</v>
      </c>
      <c r="C70" s="87">
        <v>10668.407136</v>
      </c>
      <c r="D70" s="99">
        <f>C70</f>
        <v>10668.407136</v>
      </c>
      <c r="E70" s="1"/>
      <c r="F70" s="1"/>
      <c r="G70" s="1"/>
    </row>
    <row r="71" spans="1:7" x14ac:dyDescent="0.25">
      <c r="A71" s="118" t="s">
        <v>110</v>
      </c>
      <c r="B71" s="98" t="s">
        <v>77</v>
      </c>
      <c r="C71" s="87">
        <f>50*10*24</f>
        <v>12000</v>
      </c>
      <c r="D71" s="99">
        <f t="shared" ref="D71:D72" si="4">C71</f>
        <v>12000</v>
      </c>
      <c r="E71" s="1"/>
      <c r="F71" s="1"/>
      <c r="G71" s="1"/>
    </row>
    <row r="72" spans="1:7" x14ac:dyDescent="0.25">
      <c r="A72" s="118" t="s">
        <v>111</v>
      </c>
      <c r="B72" s="98" t="s">
        <v>77</v>
      </c>
      <c r="C72" s="87">
        <f>(10*600)+177</f>
        <v>6177</v>
      </c>
      <c r="D72" s="99">
        <f t="shared" si="4"/>
        <v>6177</v>
      </c>
      <c r="E72" s="1"/>
      <c r="F72" s="1"/>
      <c r="G72" s="1"/>
    </row>
    <row r="73" spans="1:7" x14ac:dyDescent="0.25">
      <c r="A73" s="1"/>
      <c r="B73" s="51" t="s">
        <v>31</v>
      </c>
      <c r="C73" s="52"/>
      <c r="D73" s="60">
        <f>SUM(D62:D72)</f>
        <v>98601.117136000001</v>
      </c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79" t="s">
        <v>32</v>
      </c>
      <c r="C75" s="80"/>
      <c r="D75" s="81"/>
      <c r="E75" s="82">
        <f>E33+D52+D59+D73</f>
        <v>521429.62797600002</v>
      </c>
      <c r="F75" s="1"/>
      <c r="G75" s="1"/>
    </row>
    <row r="76" spans="1:7" x14ac:dyDescent="0.25">
      <c r="A76" s="49" t="s">
        <v>33</v>
      </c>
      <c r="B76" s="50"/>
      <c r="C76" s="50"/>
      <c r="D76" s="50"/>
      <c r="E76" s="50"/>
      <c r="F76" s="7"/>
      <c r="G76" s="7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ht="38.25" x14ac:dyDescent="0.25">
      <c r="A78" s="44" t="s">
        <v>18</v>
      </c>
      <c r="B78" s="44" t="s">
        <v>34</v>
      </c>
      <c r="C78" s="44" t="s">
        <v>35</v>
      </c>
      <c r="D78" s="69" t="s">
        <v>21</v>
      </c>
      <c r="E78" s="2"/>
      <c r="F78" s="2"/>
      <c r="G78" s="2"/>
    </row>
    <row r="79" spans="1:7" x14ac:dyDescent="0.25">
      <c r="A79" s="97" t="s">
        <v>82</v>
      </c>
      <c r="B79" s="100">
        <v>0.08</v>
      </c>
      <c r="C79" s="101">
        <f>B79*E75</f>
        <v>41714.370238080002</v>
      </c>
      <c r="D79" s="101">
        <f>C79</f>
        <v>41714.370238080002</v>
      </c>
      <c r="E79" s="96"/>
      <c r="F79" s="96"/>
      <c r="G79" s="96"/>
    </row>
    <row r="80" spans="1:7" x14ac:dyDescent="0.25">
      <c r="A80" s="97" t="s">
        <v>83</v>
      </c>
      <c r="B80" s="102">
        <v>0.01</v>
      </c>
      <c r="C80" s="103">
        <f>B80*E75</f>
        <v>5214.2962797600003</v>
      </c>
      <c r="D80" s="103">
        <f>C80</f>
        <v>5214.2962797600003</v>
      </c>
      <c r="E80" s="96"/>
      <c r="F80" s="96"/>
      <c r="G80" s="96"/>
    </row>
    <row r="81" spans="1:7" x14ac:dyDescent="0.25">
      <c r="A81" s="104" t="s">
        <v>84</v>
      </c>
      <c r="B81" s="105">
        <v>0.08</v>
      </c>
      <c r="C81" s="106">
        <f>B81*E75</f>
        <v>41714.370238080002</v>
      </c>
      <c r="D81" s="103">
        <f>C81</f>
        <v>41714.370238080002</v>
      </c>
      <c r="E81" s="96"/>
      <c r="F81" s="96"/>
      <c r="G81" s="96"/>
    </row>
    <row r="82" spans="1:7" x14ac:dyDescent="0.25">
      <c r="A82" s="107"/>
      <c r="B82" s="108"/>
      <c r="C82" s="109">
        <v>0</v>
      </c>
      <c r="D82" s="109">
        <v>0</v>
      </c>
      <c r="E82" s="96"/>
      <c r="F82" s="96"/>
      <c r="G82" s="96"/>
    </row>
    <row r="83" spans="1:7" x14ac:dyDescent="0.25">
      <c r="A83" s="15"/>
      <c r="B83" s="15"/>
      <c r="C83" s="53" t="s">
        <v>36</v>
      </c>
      <c r="D83" s="60">
        <f>SUM(D79:D82)</f>
        <v>88643.036755920009</v>
      </c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49" t="s">
        <v>37</v>
      </c>
      <c r="B85" s="50"/>
      <c r="C85" s="50"/>
      <c r="D85" s="50"/>
      <c r="E85" s="50"/>
      <c r="F85" s="7"/>
      <c r="G85" s="7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ht="25.5" x14ac:dyDescent="0.25">
      <c r="A87" s="44" t="s">
        <v>18</v>
      </c>
      <c r="B87" s="44" t="s">
        <v>38</v>
      </c>
      <c r="C87" s="44" t="s">
        <v>35</v>
      </c>
      <c r="D87" s="69" t="s">
        <v>21</v>
      </c>
      <c r="E87" s="2"/>
      <c r="F87" s="2"/>
      <c r="G87" s="2"/>
    </row>
    <row r="88" spans="1:7" x14ac:dyDescent="0.25">
      <c r="A88" s="119" t="s">
        <v>85</v>
      </c>
      <c r="B88" s="100">
        <v>7.6799999999999993E-2</v>
      </c>
      <c r="C88" s="101">
        <f>B88*E75</f>
        <v>40045.795428556798</v>
      </c>
      <c r="D88" s="101">
        <f>C88</f>
        <v>40045.795428556798</v>
      </c>
      <c r="E88" s="2"/>
      <c r="F88" s="2"/>
      <c r="G88" s="2"/>
    </row>
    <row r="89" spans="1:7" x14ac:dyDescent="0.25">
      <c r="A89" s="11"/>
      <c r="B89" s="39"/>
      <c r="C89" s="62">
        <v>0</v>
      </c>
      <c r="D89" s="62">
        <v>0</v>
      </c>
      <c r="E89" s="2"/>
      <c r="F89" s="2"/>
      <c r="G89" s="2"/>
    </row>
    <row r="90" spans="1:7" x14ac:dyDescent="0.25">
      <c r="A90" s="72"/>
      <c r="B90" s="46"/>
      <c r="C90" s="63">
        <v>0</v>
      </c>
      <c r="D90" s="63">
        <v>0</v>
      </c>
      <c r="E90" s="2"/>
      <c r="F90" s="2"/>
      <c r="G90" s="2"/>
    </row>
    <row r="91" spans="1:7" x14ac:dyDescent="0.25">
      <c r="A91" s="15"/>
      <c r="B91" s="51" t="s">
        <v>39</v>
      </c>
      <c r="C91" s="52"/>
      <c r="D91" s="60">
        <f>SUM(D88:D90)</f>
        <v>40045.795428556798</v>
      </c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49" t="s">
        <v>40</v>
      </c>
      <c r="B93" s="50"/>
      <c r="C93" s="50"/>
      <c r="D93" s="50"/>
      <c r="E93" s="50"/>
      <c r="F93" s="7"/>
      <c r="G93" s="7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12" t="s">
        <v>41</v>
      </c>
      <c r="B95" s="13"/>
      <c r="C95" s="13"/>
      <c r="D95" s="14"/>
      <c r="E95" s="64">
        <f>E75+D83+D91</f>
        <v>650118.46016047685</v>
      </c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49" t="s">
        <v>42</v>
      </c>
      <c r="B97" s="50"/>
      <c r="C97" s="50"/>
      <c r="D97" s="50"/>
      <c r="E97" s="71"/>
      <c r="F97" s="7"/>
      <c r="G97" s="7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44" t="s">
        <v>18</v>
      </c>
      <c r="B99" s="44" t="s">
        <v>38</v>
      </c>
      <c r="C99" s="2"/>
      <c r="D99" s="2"/>
      <c r="E99" s="2"/>
      <c r="F99" s="2"/>
      <c r="G99" s="2"/>
    </row>
    <row r="100" spans="1:7" x14ac:dyDescent="0.25">
      <c r="A100" s="18" t="s">
        <v>43</v>
      </c>
      <c r="B100" s="100">
        <v>0.05</v>
      </c>
      <c r="C100" s="2"/>
      <c r="D100" s="2"/>
      <c r="E100" s="2"/>
      <c r="F100" s="2"/>
      <c r="G100" s="2"/>
    </row>
    <row r="101" spans="1:7" x14ac:dyDescent="0.25">
      <c r="A101" s="19" t="s">
        <v>44</v>
      </c>
      <c r="B101" s="102">
        <v>6.4999999999999997E-3</v>
      </c>
      <c r="C101" s="2"/>
      <c r="D101" s="2"/>
      <c r="E101" s="2"/>
      <c r="F101" s="2"/>
      <c r="G101" s="2"/>
    </row>
    <row r="102" spans="1:7" x14ac:dyDescent="0.25">
      <c r="A102" s="4" t="s">
        <v>45</v>
      </c>
      <c r="B102" s="110">
        <v>0.03</v>
      </c>
      <c r="C102" s="2"/>
      <c r="D102" s="2"/>
      <c r="E102" s="2"/>
      <c r="F102" s="2"/>
      <c r="G102" s="2"/>
    </row>
    <row r="103" spans="1:7" x14ac:dyDescent="0.25">
      <c r="A103" s="2"/>
      <c r="B103" s="16"/>
      <c r="C103" s="2"/>
      <c r="D103" s="2"/>
      <c r="E103" s="2"/>
      <c r="F103" s="2"/>
      <c r="G103" s="2"/>
    </row>
    <row r="104" spans="1:7" ht="27.75" customHeight="1" x14ac:dyDescent="0.25">
      <c r="A104" s="17" t="s">
        <v>46</v>
      </c>
      <c r="B104" s="65">
        <f>SUM(B100:B102)</f>
        <v>8.6499999999999994E-2</v>
      </c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49" t="s">
        <v>47</v>
      </c>
      <c r="B106" s="50"/>
      <c r="C106" s="50"/>
      <c r="D106" s="50"/>
      <c r="E106" s="120">
        <f>E95*1.0865</f>
        <v>706353.70696435811</v>
      </c>
      <c r="F106" s="7"/>
      <c r="G106" s="7"/>
    </row>
    <row r="107" spans="1:7" x14ac:dyDescent="0.25">
      <c r="A107" s="122"/>
      <c r="B107" s="123"/>
      <c r="C107" s="123"/>
      <c r="D107" s="123"/>
      <c r="E107" s="134"/>
      <c r="F107" s="7"/>
      <c r="G107" s="7"/>
    </row>
    <row r="108" spans="1:7" x14ac:dyDescent="0.25">
      <c r="A108" s="49" t="s">
        <v>112</v>
      </c>
      <c r="B108" s="50"/>
      <c r="C108" s="50"/>
      <c r="D108" s="50"/>
      <c r="E108" s="50"/>
    </row>
    <row r="109" spans="1:7" x14ac:dyDescent="0.25">
      <c r="A109" s="122"/>
      <c r="B109" s="123"/>
      <c r="C109" s="123"/>
      <c r="D109" s="123"/>
      <c r="E109" s="123"/>
      <c r="F109" s="124"/>
    </row>
    <row r="110" spans="1:7" ht="25.5" x14ac:dyDescent="0.25">
      <c r="A110" s="44" t="s">
        <v>18</v>
      </c>
      <c r="B110" s="44" t="s">
        <v>28</v>
      </c>
      <c r="C110" s="44" t="s">
        <v>29</v>
      </c>
      <c r="D110" s="69" t="s">
        <v>21</v>
      </c>
      <c r="E110" s="125"/>
    </row>
    <row r="111" spans="1:7" ht="15.75" x14ac:dyDescent="0.25">
      <c r="A111" s="126" t="s">
        <v>113</v>
      </c>
      <c r="B111" s="98" t="s">
        <v>77</v>
      </c>
      <c r="C111" s="87"/>
      <c r="D111" s="103">
        <f>C111</f>
        <v>0</v>
      </c>
      <c r="E111" s="125"/>
    </row>
    <row r="112" spans="1:7" ht="15.75" x14ac:dyDescent="0.25">
      <c r="A112" s="118"/>
      <c r="B112" s="98"/>
      <c r="C112" s="87"/>
      <c r="D112" s="99">
        <f>C112</f>
        <v>0</v>
      </c>
      <c r="E112" s="125"/>
    </row>
    <row r="113" spans="1:5" ht="15.75" x14ac:dyDescent="0.25">
      <c r="A113" s="118"/>
      <c r="B113" s="98"/>
      <c r="C113" s="87"/>
      <c r="D113" s="99"/>
      <c r="E113" s="125"/>
    </row>
    <row r="114" spans="1:5" x14ac:dyDescent="0.25">
      <c r="B114" s="96"/>
      <c r="C114" s="96"/>
      <c r="D114" s="127">
        <f>SUM(D111:D113)</f>
        <v>0</v>
      </c>
      <c r="E114" s="96"/>
    </row>
    <row r="115" spans="1:5" x14ac:dyDescent="0.25">
      <c r="A115" s="49" t="s">
        <v>114</v>
      </c>
      <c r="B115" s="50"/>
      <c r="C115" s="50"/>
      <c r="D115" s="50"/>
      <c r="E115" s="50"/>
    </row>
    <row r="116" spans="1:5" x14ac:dyDescent="0.25">
      <c r="A116" s="96"/>
      <c r="B116" s="96"/>
      <c r="C116" s="96"/>
      <c r="D116" s="96"/>
      <c r="E116" s="96"/>
    </row>
    <row r="117" spans="1:5" ht="38.25" x14ac:dyDescent="0.25">
      <c r="A117" s="44" t="s">
        <v>18</v>
      </c>
      <c r="B117" s="44" t="s">
        <v>34</v>
      </c>
      <c r="C117" s="44" t="s">
        <v>35</v>
      </c>
      <c r="D117" s="69" t="s">
        <v>21</v>
      </c>
      <c r="E117" s="96"/>
    </row>
    <row r="118" spans="1:5" x14ac:dyDescent="0.25">
      <c r="A118" s="97" t="s">
        <v>82</v>
      </c>
      <c r="B118" s="100">
        <v>0.08</v>
      </c>
      <c r="C118" s="101">
        <f>B118*D114</f>
        <v>0</v>
      </c>
      <c r="D118" s="101">
        <f>C118</f>
        <v>0</v>
      </c>
      <c r="E118" s="96"/>
    </row>
    <row r="119" spans="1:5" x14ac:dyDescent="0.25">
      <c r="A119" s="97" t="s">
        <v>83</v>
      </c>
      <c r="B119" s="102">
        <v>0.01</v>
      </c>
      <c r="C119" s="103">
        <f>B119*D114</f>
        <v>0</v>
      </c>
      <c r="D119" s="103">
        <f>C119</f>
        <v>0</v>
      </c>
      <c r="E119" s="96"/>
    </row>
    <row r="120" spans="1:5" x14ac:dyDescent="0.25">
      <c r="A120" s="107"/>
      <c r="B120" s="108"/>
      <c r="C120" s="109">
        <v>0</v>
      </c>
      <c r="D120" s="109">
        <v>0</v>
      </c>
      <c r="E120" s="96"/>
    </row>
    <row r="121" spans="1:5" x14ac:dyDescent="0.25">
      <c r="A121" s="15"/>
      <c r="B121" s="15"/>
      <c r="C121" s="53" t="s">
        <v>36</v>
      </c>
      <c r="D121" s="60">
        <f>SUM(D118:D120)</f>
        <v>0</v>
      </c>
      <c r="E121" s="96"/>
    </row>
    <row r="122" spans="1:5" x14ac:dyDescent="0.25">
      <c r="A122" s="96"/>
      <c r="B122" s="96"/>
      <c r="C122" s="96"/>
      <c r="D122" s="96"/>
      <c r="E122" s="96"/>
    </row>
    <row r="123" spans="1:5" x14ac:dyDescent="0.25">
      <c r="A123" s="49" t="s">
        <v>115</v>
      </c>
      <c r="B123" s="50"/>
      <c r="C123" s="50"/>
      <c r="D123" s="50"/>
      <c r="E123" s="50"/>
    </row>
    <row r="124" spans="1:5" x14ac:dyDescent="0.25">
      <c r="A124" s="96"/>
      <c r="B124" s="96"/>
      <c r="C124" s="96"/>
      <c r="D124" s="96"/>
      <c r="E124" s="96"/>
    </row>
    <row r="125" spans="1:5" ht="25.5" x14ac:dyDescent="0.25">
      <c r="A125" s="44" t="s">
        <v>18</v>
      </c>
      <c r="B125" s="44" t="s">
        <v>38</v>
      </c>
      <c r="C125" s="44" t="s">
        <v>35</v>
      </c>
      <c r="D125" s="69" t="s">
        <v>21</v>
      </c>
      <c r="E125" s="96"/>
    </row>
    <row r="126" spans="1:5" x14ac:dyDescent="0.25">
      <c r="A126" s="119" t="s">
        <v>85</v>
      </c>
      <c r="B126" s="100">
        <v>7.6799999999999993E-2</v>
      </c>
      <c r="C126" s="101">
        <f>B126*(D114+D121)</f>
        <v>0</v>
      </c>
      <c r="D126" s="101">
        <f>C126</f>
        <v>0</v>
      </c>
      <c r="E126" s="96"/>
    </row>
    <row r="127" spans="1:5" x14ac:dyDescent="0.25">
      <c r="A127" s="97"/>
      <c r="B127" s="102"/>
      <c r="C127" s="103">
        <v>0</v>
      </c>
      <c r="D127" s="103">
        <v>0</v>
      </c>
      <c r="E127" s="96"/>
    </row>
    <row r="128" spans="1:5" x14ac:dyDescent="0.25">
      <c r="A128" s="135"/>
      <c r="B128" s="110"/>
      <c r="C128" s="136">
        <v>0</v>
      </c>
      <c r="D128" s="136">
        <v>0</v>
      </c>
      <c r="E128" s="96"/>
    </row>
    <row r="129" spans="1:6" x14ac:dyDescent="0.25">
      <c r="A129" s="15"/>
      <c r="B129" s="51" t="s">
        <v>39</v>
      </c>
      <c r="C129" s="137"/>
      <c r="D129" s="60">
        <f>SUM(D126:D128)</f>
        <v>0</v>
      </c>
      <c r="E129" s="96"/>
    </row>
    <row r="130" spans="1:6" x14ac:dyDescent="0.25">
      <c r="A130" s="96"/>
      <c r="B130" s="96"/>
      <c r="C130" s="96"/>
      <c r="D130" s="96"/>
      <c r="E130" s="96"/>
    </row>
    <row r="131" spans="1:6" x14ac:dyDescent="0.25">
      <c r="A131" s="49" t="s">
        <v>116</v>
      </c>
      <c r="B131" s="50"/>
      <c r="C131" s="50"/>
      <c r="D131" s="50"/>
      <c r="E131" s="71"/>
    </row>
    <row r="132" spans="1:6" x14ac:dyDescent="0.25">
      <c r="A132" s="96"/>
      <c r="B132" s="96"/>
      <c r="C132" s="96"/>
      <c r="D132" s="96"/>
      <c r="E132" s="96"/>
    </row>
    <row r="133" spans="1:6" x14ac:dyDescent="0.25">
      <c r="A133" s="44" t="s">
        <v>18</v>
      </c>
      <c r="B133" s="44" t="s">
        <v>38</v>
      </c>
      <c r="C133" s="96"/>
      <c r="D133" s="96"/>
      <c r="E133" s="96"/>
    </row>
    <row r="134" spans="1:6" x14ac:dyDescent="0.25">
      <c r="A134" s="128" t="s">
        <v>43</v>
      </c>
      <c r="B134" s="100">
        <v>0.05</v>
      </c>
      <c r="C134" s="96"/>
      <c r="D134" s="96"/>
      <c r="E134" s="96"/>
    </row>
    <row r="135" spans="1:6" x14ac:dyDescent="0.25">
      <c r="A135" s="92" t="s">
        <v>44</v>
      </c>
      <c r="B135" s="102">
        <v>6.4999999999999997E-3</v>
      </c>
      <c r="C135" s="96"/>
      <c r="D135" s="96"/>
      <c r="E135" s="129"/>
    </row>
    <row r="136" spans="1:6" x14ac:dyDescent="0.25">
      <c r="A136" s="138" t="s">
        <v>45</v>
      </c>
      <c r="B136" s="110">
        <v>0.03</v>
      </c>
      <c r="C136" s="96"/>
      <c r="D136" s="96"/>
      <c r="E136" s="96"/>
    </row>
    <row r="137" spans="1:6" x14ac:dyDescent="0.25">
      <c r="A137" s="96"/>
      <c r="B137" s="130"/>
      <c r="C137" s="96"/>
      <c r="D137" s="96"/>
      <c r="E137" s="96"/>
    </row>
    <row r="138" spans="1:6" ht="27.75" customHeight="1" x14ac:dyDescent="0.25">
      <c r="A138" s="17" t="s">
        <v>46</v>
      </c>
      <c r="B138" s="65">
        <f>SUM(B134:B136)</f>
        <v>8.6499999999999994E-2</v>
      </c>
      <c r="C138" s="96"/>
      <c r="D138" s="96"/>
      <c r="E138" s="131"/>
    </row>
    <row r="139" spans="1:6" x14ac:dyDescent="0.25">
      <c r="A139" s="96"/>
      <c r="B139" s="96"/>
      <c r="C139" s="96"/>
      <c r="D139" s="96"/>
      <c r="E139" s="96"/>
    </row>
    <row r="140" spans="1:6" x14ac:dyDescent="0.25">
      <c r="A140" s="49" t="s">
        <v>117</v>
      </c>
      <c r="B140" s="50"/>
      <c r="C140" s="50"/>
      <c r="D140" s="50"/>
      <c r="E140" s="120">
        <f>(D114+D121+D129)*1.0865</f>
        <v>0</v>
      </c>
    </row>
    <row r="141" spans="1:6" x14ac:dyDescent="0.25">
      <c r="A141" s="78"/>
      <c r="B141" s="96"/>
      <c r="C141" s="96"/>
      <c r="D141" s="96"/>
      <c r="E141" s="96"/>
    </row>
    <row r="142" spans="1:6" x14ac:dyDescent="0.25">
      <c r="A142" s="49" t="s">
        <v>118</v>
      </c>
      <c r="B142" s="50"/>
      <c r="C142" s="50"/>
      <c r="D142" s="50"/>
      <c r="E142" s="50"/>
    </row>
    <row r="143" spans="1:6" x14ac:dyDescent="0.25">
      <c r="A143" s="122"/>
      <c r="B143" s="123"/>
      <c r="C143" s="123"/>
      <c r="D143" s="123"/>
      <c r="E143" s="123"/>
      <c r="F143" s="124"/>
    </row>
    <row r="144" spans="1:6" ht="25.5" x14ac:dyDescent="0.25">
      <c r="A144" s="44" t="s">
        <v>18</v>
      </c>
      <c r="B144" s="44" t="s">
        <v>28</v>
      </c>
      <c r="C144" s="44" t="s">
        <v>29</v>
      </c>
      <c r="D144" s="69" t="s">
        <v>21</v>
      </c>
      <c r="E144" s="125"/>
    </row>
    <row r="145" spans="1:5" ht="15.75" x14ac:dyDescent="0.25">
      <c r="A145" s="126" t="s">
        <v>107</v>
      </c>
      <c r="B145" s="98" t="s">
        <v>77</v>
      </c>
      <c r="C145" s="87">
        <f>E26*41.5%</f>
        <v>67109.876755999998</v>
      </c>
      <c r="D145" s="103">
        <f>C145</f>
        <v>67109.876755999998</v>
      </c>
      <c r="E145" s="125"/>
    </row>
    <row r="146" spans="1:5" ht="15.75" x14ac:dyDescent="0.25">
      <c r="A146" s="118"/>
      <c r="B146" s="98"/>
      <c r="C146" s="87"/>
      <c r="D146" s="99"/>
      <c r="E146" s="125"/>
    </row>
    <row r="147" spans="1:5" ht="15.75" x14ac:dyDescent="0.25">
      <c r="A147" s="118"/>
      <c r="B147" s="98"/>
      <c r="C147" s="87"/>
      <c r="D147" s="99"/>
      <c r="E147" s="125"/>
    </row>
    <row r="148" spans="1:5" x14ac:dyDescent="0.25">
      <c r="B148" s="96"/>
      <c r="C148" s="96"/>
      <c r="D148" s="127">
        <f>SUM(D145:D147)</f>
        <v>67109.876755999998</v>
      </c>
      <c r="E148" s="96"/>
    </row>
    <row r="149" spans="1:5" x14ac:dyDescent="0.25">
      <c r="A149" s="96"/>
      <c r="B149" s="96"/>
      <c r="C149" s="96"/>
      <c r="D149" s="96"/>
      <c r="E149" s="96"/>
    </row>
    <row r="150" spans="1:5" x14ac:dyDescent="0.25">
      <c r="A150" s="49" t="s">
        <v>119</v>
      </c>
      <c r="B150" s="50"/>
      <c r="C150" s="50"/>
      <c r="D150" s="50"/>
      <c r="E150" s="50"/>
    </row>
    <row r="151" spans="1:5" x14ac:dyDescent="0.25">
      <c r="A151" s="96"/>
      <c r="B151" s="96"/>
      <c r="C151" s="96"/>
      <c r="D151" s="96"/>
      <c r="E151" s="96"/>
    </row>
    <row r="152" spans="1:5" ht="25.5" x14ac:dyDescent="0.25">
      <c r="A152" s="44" t="s">
        <v>18</v>
      </c>
      <c r="B152" s="44" t="s">
        <v>38</v>
      </c>
      <c r="C152" s="44" t="s">
        <v>35</v>
      </c>
      <c r="D152" s="69" t="s">
        <v>21</v>
      </c>
      <c r="E152" s="96"/>
    </row>
    <row r="153" spans="1:5" x14ac:dyDescent="0.25">
      <c r="A153" s="119" t="s">
        <v>85</v>
      </c>
      <c r="B153" s="100">
        <v>7.6799999999999993E-2</v>
      </c>
      <c r="C153" s="101">
        <f>B153*D148</f>
        <v>5154.0385348607997</v>
      </c>
      <c r="D153" s="101">
        <f>C153</f>
        <v>5154.0385348607997</v>
      </c>
      <c r="E153" s="96"/>
    </row>
    <row r="154" spans="1:5" x14ac:dyDescent="0.25">
      <c r="A154" s="97"/>
      <c r="B154" s="102"/>
      <c r="C154" s="103">
        <v>0</v>
      </c>
      <c r="D154" s="103">
        <v>0</v>
      </c>
      <c r="E154" s="96"/>
    </row>
    <row r="155" spans="1:5" x14ac:dyDescent="0.25">
      <c r="A155" s="135"/>
      <c r="B155" s="110"/>
      <c r="C155" s="136">
        <v>0</v>
      </c>
      <c r="D155" s="136">
        <v>0</v>
      </c>
      <c r="E155" s="96"/>
    </row>
    <row r="156" spans="1:5" x14ac:dyDescent="0.25">
      <c r="A156" s="15"/>
      <c r="B156" s="51" t="s">
        <v>39</v>
      </c>
      <c r="C156" s="137"/>
      <c r="D156" s="60">
        <f>SUM(D153:D155)</f>
        <v>5154.0385348607997</v>
      </c>
      <c r="E156" s="96"/>
    </row>
    <row r="157" spans="1:5" x14ac:dyDescent="0.25">
      <c r="A157" s="96"/>
      <c r="B157" s="96"/>
      <c r="C157" s="96"/>
      <c r="D157" s="96"/>
      <c r="E157" s="96"/>
    </row>
    <row r="158" spans="1:5" x14ac:dyDescent="0.25">
      <c r="A158" s="49" t="s">
        <v>120</v>
      </c>
      <c r="B158" s="50"/>
      <c r="C158" s="50"/>
      <c r="D158" s="50"/>
      <c r="E158" s="71"/>
    </row>
    <row r="159" spans="1:5" x14ac:dyDescent="0.25">
      <c r="A159" s="96"/>
      <c r="B159" s="96"/>
      <c r="C159" s="96"/>
      <c r="D159" s="96"/>
      <c r="E159" s="96"/>
    </row>
    <row r="160" spans="1:5" x14ac:dyDescent="0.25">
      <c r="A160" s="44" t="s">
        <v>18</v>
      </c>
      <c r="B160" s="44" t="s">
        <v>38</v>
      </c>
      <c r="C160" s="96"/>
      <c r="D160" s="96"/>
      <c r="E160" s="96"/>
    </row>
    <row r="161" spans="1:7" x14ac:dyDescent="0.25">
      <c r="A161" s="128" t="s">
        <v>43</v>
      </c>
      <c r="B161" s="100">
        <v>0.05</v>
      </c>
      <c r="C161" s="96"/>
      <c r="D161" s="96"/>
      <c r="E161" s="96"/>
    </row>
    <row r="162" spans="1:7" x14ac:dyDescent="0.25">
      <c r="A162" s="92" t="s">
        <v>44</v>
      </c>
      <c r="B162" s="102">
        <v>6.4999999999999997E-3</v>
      </c>
      <c r="C162" s="96"/>
      <c r="D162" s="96"/>
      <c r="E162" s="129"/>
    </row>
    <row r="163" spans="1:7" x14ac:dyDescent="0.25">
      <c r="A163" s="138" t="s">
        <v>45</v>
      </c>
      <c r="B163" s="110">
        <v>0.03</v>
      </c>
      <c r="C163" s="96"/>
      <c r="D163" s="96"/>
      <c r="E163" s="96"/>
    </row>
    <row r="164" spans="1:7" x14ac:dyDescent="0.25">
      <c r="A164" s="96"/>
      <c r="B164" s="130"/>
      <c r="C164" s="96"/>
      <c r="D164" s="96"/>
      <c r="E164" s="96"/>
    </row>
    <row r="165" spans="1:7" ht="27.75" customHeight="1" x14ac:dyDescent="0.25">
      <c r="A165" s="17" t="s">
        <v>46</v>
      </c>
      <c r="B165" s="65">
        <f>SUM(B161:B163)</f>
        <v>8.6499999999999994E-2</v>
      </c>
      <c r="C165" s="96"/>
      <c r="D165" s="96"/>
      <c r="E165" s="131"/>
    </row>
    <row r="166" spans="1:7" x14ac:dyDescent="0.25">
      <c r="A166" s="96"/>
      <c r="B166" s="96"/>
      <c r="C166" s="96"/>
      <c r="D166" s="96"/>
      <c r="E166" s="96"/>
    </row>
    <row r="167" spans="1:7" x14ac:dyDescent="0.25">
      <c r="A167" s="49" t="s">
        <v>121</v>
      </c>
      <c r="B167" s="50"/>
      <c r="C167" s="50"/>
      <c r="D167" s="50"/>
      <c r="E167" s="120">
        <f>(D148+D156)*1.0865</f>
        <v>78514.743963520261</v>
      </c>
    </row>
    <row r="168" spans="1:7" x14ac:dyDescent="0.25">
      <c r="A168" s="78"/>
      <c r="B168" s="96"/>
      <c r="C168" s="96"/>
      <c r="D168" s="96"/>
      <c r="E168" s="96"/>
    </row>
    <row r="169" spans="1:7" x14ac:dyDescent="0.25">
      <c r="A169" s="45" t="s">
        <v>65</v>
      </c>
      <c r="B169" s="132"/>
      <c r="C169" s="132"/>
      <c r="D169" s="133"/>
      <c r="E169" s="249">
        <f>E167+E140+E106</f>
        <v>784868.45092787838</v>
      </c>
    </row>
    <row r="170" spans="1:7" x14ac:dyDescent="0.25">
      <c r="A170" s="45" t="s">
        <v>167</v>
      </c>
      <c r="B170" s="132"/>
      <c r="C170" s="132"/>
      <c r="D170" s="133"/>
      <c r="E170" s="249">
        <v>767500</v>
      </c>
    </row>
    <row r="171" spans="1:7" x14ac:dyDescent="0.25">
      <c r="A171" s="3"/>
      <c r="B171" s="2"/>
      <c r="C171" s="2"/>
      <c r="D171" s="2"/>
      <c r="E171" s="2"/>
      <c r="F171" s="2"/>
      <c r="G171" s="2"/>
    </row>
    <row r="172" spans="1:7" x14ac:dyDescent="0.25">
      <c r="A172" s="3"/>
      <c r="B172" s="2"/>
      <c r="C172" s="2"/>
      <c r="D172" s="2"/>
      <c r="E172" s="2"/>
      <c r="F172" s="2"/>
      <c r="G172" s="2"/>
    </row>
    <row r="173" spans="1:7" x14ac:dyDescent="0.25">
      <c r="A173" s="78" t="s">
        <v>48</v>
      </c>
      <c r="B173" s="2"/>
      <c r="C173" s="2"/>
      <c r="D173" s="2"/>
      <c r="E173" s="2"/>
      <c r="F173" s="2"/>
      <c r="G173" s="2"/>
    </row>
    <row r="174" spans="1:7" x14ac:dyDescent="0.25">
      <c r="A174" s="27" t="s">
        <v>49</v>
      </c>
      <c r="B174" s="1"/>
      <c r="C174" s="1"/>
      <c r="D174" s="1"/>
      <c r="E174" s="1"/>
      <c r="F174" s="1"/>
      <c r="G174" s="1"/>
    </row>
    <row r="175" spans="1:7" x14ac:dyDescent="0.25">
      <c r="A175" s="28" t="s">
        <v>50</v>
      </c>
      <c r="B175" s="2"/>
      <c r="C175" s="2"/>
      <c r="D175" s="2"/>
      <c r="E175" s="2"/>
      <c r="F175" s="2"/>
      <c r="G175" s="2"/>
    </row>
    <row r="176" spans="1:7" x14ac:dyDescent="0.25">
      <c r="A176" s="28" t="s">
        <v>51</v>
      </c>
      <c r="B176" s="2"/>
      <c r="C176" s="2"/>
      <c r="D176" s="2"/>
      <c r="E176" s="2"/>
      <c r="F176" s="2"/>
      <c r="G176" s="2"/>
    </row>
    <row r="177" spans="1:1" x14ac:dyDescent="0.25">
      <c r="A177" s="28" t="s">
        <v>52</v>
      </c>
    </row>
    <row r="178" spans="1:1" x14ac:dyDescent="0.25">
      <c r="A178" s="28" t="s">
        <v>53</v>
      </c>
    </row>
    <row r="179" spans="1:1" x14ac:dyDescent="0.25">
      <c r="A179" s="28" t="s">
        <v>54</v>
      </c>
    </row>
    <row r="180" spans="1:1" x14ac:dyDescent="0.25">
      <c r="A180" s="28" t="s">
        <v>55</v>
      </c>
    </row>
    <row r="181" spans="1:1" x14ac:dyDescent="0.25">
      <c r="A181" s="27" t="s">
        <v>56</v>
      </c>
    </row>
    <row r="182" spans="1:1" x14ac:dyDescent="0.25">
      <c r="A182" s="28" t="s">
        <v>57</v>
      </c>
    </row>
    <row r="183" spans="1:1" x14ac:dyDescent="0.25">
      <c r="A183" s="28" t="s">
        <v>58</v>
      </c>
    </row>
    <row r="184" spans="1:1" x14ac:dyDescent="0.25">
      <c r="A184" s="30">
        <v>2</v>
      </c>
    </row>
    <row r="185" spans="1:1" x14ac:dyDescent="0.25">
      <c r="A185" s="28" t="s">
        <v>59</v>
      </c>
    </row>
    <row r="186" spans="1:1" x14ac:dyDescent="0.25">
      <c r="A186" s="30">
        <v>3</v>
      </c>
    </row>
    <row r="187" spans="1:1" x14ac:dyDescent="0.25">
      <c r="A187" s="28" t="s">
        <v>60</v>
      </c>
    </row>
    <row r="188" spans="1:1" x14ac:dyDescent="0.25">
      <c r="A188" s="30">
        <v>5</v>
      </c>
    </row>
    <row r="189" spans="1:1" x14ac:dyDescent="0.25">
      <c r="A189" s="28" t="s">
        <v>61</v>
      </c>
    </row>
    <row r="190" spans="1:1" x14ac:dyDescent="0.25">
      <c r="A190" s="28"/>
    </row>
    <row r="191" spans="1:1" x14ac:dyDescent="0.25">
      <c r="A191" s="29" t="s">
        <v>62</v>
      </c>
    </row>
    <row r="192" spans="1:1" x14ac:dyDescent="0.25">
      <c r="A192" s="2"/>
    </row>
    <row r="193" spans="1:1" x14ac:dyDescent="0.25">
      <c r="A193" s="32" t="s">
        <v>63</v>
      </c>
    </row>
  </sheetData>
  <mergeCells count="1">
    <mergeCell ref="A2:E2"/>
  </mergeCells>
  <pageMargins left="0.511811024" right="0.511811024" top="0.78740157499999996" bottom="0.78740157499999996" header="0.31496062000000002" footer="0.31496062000000002"/>
  <pageSetup paperSize="9" scale="56" orientation="portrait" r:id="rId1"/>
  <rowBreaks count="2" manualBreakCount="2">
    <brk id="59" max="16383" man="1"/>
    <brk id="14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selection activeCell="A3" sqref="A3:I3"/>
    </sheetView>
  </sheetViews>
  <sheetFormatPr defaultColWidth="7.85546875" defaultRowHeight="15" x14ac:dyDescent="0.2"/>
  <cols>
    <col min="1" max="1" width="29.28515625" style="140" customWidth="1"/>
    <col min="2" max="2" width="14.42578125" style="140" customWidth="1"/>
    <col min="3" max="3" width="16" style="140" customWidth="1"/>
    <col min="4" max="5" width="13.7109375" style="140" customWidth="1"/>
    <col min="6" max="6" width="16.85546875" style="140" customWidth="1"/>
    <col min="7" max="7" width="15.140625" style="140" customWidth="1"/>
    <col min="8" max="8" width="13.7109375" style="140" customWidth="1"/>
    <col min="9" max="9" width="17" style="140" customWidth="1"/>
    <col min="10" max="10" width="13.140625" style="140" bestFit="1" customWidth="1"/>
    <col min="11" max="11" width="7.85546875" style="140"/>
    <col min="12" max="12" width="14.28515625" style="140" bestFit="1" customWidth="1"/>
    <col min="13" max="13" width="16.42578125" style="140" bestFit="1" customWidth="1"/>
    <col min="14" max="256" width="7.85546875" style="140"/>
    <col min="257" max="257" width="29.28515625" style="140" customWidth="1"/>
    <col min="258" max="258" width="14.42578125" style="140" customWidth="1"/>
    <col min="259" max="259" width="16" style="140" customWidth="1"/>
    <col min="260" max="261" width="13.7109375" style="140" customWidth="1"/>
    <col min="262" max="262" width="16.85546875" style="140" customWidth="1"/>
    <col min="263" max="263" width="15.140625" style="140" customWidth="1"/>
    <col min="264" max="264" width="13.7109375" style="140" customWidth="1"/>
    <col min="265" max="265" width="17" style="140" customWidth="1"/>
    <col min="266" max="266" width="13.140625" style="140" bestFit="1" customWidth="1"/>
    <col min="267" max="267" width="7.85546875" style="140"/>
    <col min="268" max="268" width="14.28515625" style="140" bestFit="1" customWidth="1"/>
    <col min="269" max="269" width="16.42578125" style="140" bestFit="1" customWidth="1"/>
    <col min="270" max="512" width="7.85546875" style="140"/>
    <col min="513" max="513" width="29.28515625" style="140" customWidth="1"/>
    <col min="514" max="514" width="14.42578125" style="140" customWidth="1"/>
    <col min="515" max="515" width="16" style="140" customWidth="1"/>
    <col min="516" max="517" width="13.7109375" style="140" customWidth="1"/>
    <col min="518" max="518" width="16.85546875" style="140" customWidth="1"/>
    <col min="519" max="519" width="15.140625" style="140" customWidth="1"/>
    <col min="520" max="520" width="13.7109375" style="140" customWidth="1"/>
    <col min="521" max="521" width="17" style="140" customWidth="1"/>
    <col min="522" max="522" width="13.140625" style="140" bestFit="1" customWidth="1"/>
    <col min="523" max="523" width="7.85546875" style="140"/>
    <col min="524" max="524" width="14.28515625" style="140" bestFit="1" customWidth="1"/>
    <col min="525" max="525" width="16.42578125" style="140" bestFit="1" customWidth="1"/>
    <col min="526" max="768" width="7.85546875" style="140"/>
    <col min="769" max="769" width="29.28515625" style="140" customWidth="1"/>
    <col min="770" max="770" width="14.42578125" style="140" customWidth="1"/>
    <col min="771" max="771" width="16" style="140" customWidth="1"/>
    <col min="772" max="773" width="13.7109375" style="140" customWidth="1"/>
    <col min="774" max="774" width="16.85546875" style="140" customWidth="1"/>
    <col min="775" max="775" width="15.140625" style="140" customWidth="1"/>
    <col min="776" max="776" width="13.7109375" style="140" customWidth="1"/>
    <col min="777" max="777" width="17" style="140" customWidth="1"/>
    <col min="778" max="778" width="13.140625" style="140" bestFit="1" customWidth="1"/>
    <col min="779" max="779" width="7.85546875" style="140"/>
    <col min="780" max="780" width="14.28515625" style="140" bestFit="1" customWidth="1"/>
    <col min="781" max="781" width="16.42578125" style="140" bestFit="1" customWidth="1"/>
    <col min="782" max="1024" width="7.85546875" style="140"/>
    <col min="1025" max="1025" width="29.28515625" style="140" customWidth="1"/>
    <col min="1026" max="1026" width="14.42578125" style="140" customWidth="1"/>
    <col min="1027" max="1027" width="16" style="140" customWidth="1"/>
    <col min="1028" max="1029" width="13.7109375" style="140" customWidth="1"/>
    <col min="1030" max="1030" width="16.85546875" style="140" customWidth="1"/>
    <col min="1031" max="1031" width="15.140625" style="140" customWidth="1"/>
    <col min="1032" max="1032" width="13.7109375" style="140" customWidth="1"/>
    <col min="1033" max="1033" width="17" style="140" customWidth="1"/>
    <col min="1034" max="1034" width="13.140625" style="140" bestFit="1" customWidth="1"/>
    <col min="1035" max="1035" width="7.85546875" style="140"/>
    <col min="1036" max="1036" width="14.28515625" style="140" bestFit="1" customWidth="1"/>
    <col min="1037" max="1037" width="16.42578125" style="140" bestFit="1" customWidth="1"/>
    <col min="1038" max="1280" width="7.85546875" style="140"/>
    <col min="1281" max="1281" width="29.28515625" style="140" customWidth="1"/>
    <col min="1282" max="1282" width="14.42578125" style="140" customWidth="1"/>
    <col min="1283" max="1283" width="16" style="140" customWidth="1"/>
    <col min="1284" max="1285" width="13.7109375" style="140" customWidth="1"/>
    <col min="1286" max="1286" width="16.85546875" style="140" customWidth="1"/>
    <col min="1287" max="1287" width="15.140625" style="140" customWidth="1"/>
    <col min="1288" max="1288" width="13.7109375" style="140" customWidth="1"/>
    <col min="1289" max="1289" width="17" style="140" customWidth="1"/>
    <col min="1290" max="1290" width="13.140625" style="140" bestFit="1" customWidth="1"/>
    <col min="1291" max="1291" width="7.85546875" style="140"/>
    <col min="1292" max="1292" width="14.28515625" style="140" bestFit="1" customWidth="1"/>
    <col min="1293" max="1293" width="16.42578125" style="140" bestFit="1" customWidth="1"/>
    <col min="1294" max="1536" width="7.85546875" style="140"/>
    <col min="1537" max="1537" width="29.28515625" style="140" customWidth="1"/>
    <col min="1538" max="1538" width="14.42578125" style="140" customWidth="1"/>
    <col min="1539" max="1539" width="16" style="140" customWidth="1"/>
    <col min="1540" max="1541" width="13.7109375" style="140" customWidth="1"/>
    <col min="1542" max="1542" width="16.85546875" style="140" customWidth="1"/>
    <col min="1543" max="1543" width="15.140625" style="140" customWidth="1"/>
    <col min="1544" max="1544" width="13.7109375" style="140" customWidth="1"/>
    <col min="1545" max="1545" width="17" style="140" customWidth="1"/>
    <col min="1546" max="1546" width="13.140625" style="140" bestFit="1" customWidth="1"/>
    <col min="1547" max="1547" width="7.85546875" style="140"/>
    <col min="1548" max="1548" width="14.28515625" style="140" bestFit="1" customWidth="1"/>
    <col min="1549" max="1549" width="16.42578125" style="140" bestFit="1" customWidth="1"/>
    <col min="1550" max="1792" width="7.85546875" style="140"/>
    <col min="1793" max="1793" width="29.28515625" style="140" customWidth="1"/>
    <col min="1794" max="1794" width="14.42578125" style="140" customWidth="1"/>
    <col min="1795" max="1795" width="16" style="140" customWidth="1"/>
    <col min="1796" max="1797" width="13.7109375" style="140" customWidth="1"/>
    <col min="1798" max="1798" width="16.85546875" style="140" customWidth="1"/>
    <col min="1799" max="1799" width="15.140625" style="140" customWidth="1"/>
    <col min="1800" max="1800" width="13.7109375" style="140" customWidth="1"/>
    <col min="1801" max="1801" width="17" style="140" customWidth="1"/>
    <col min="1802" max="1802" width="13.140625" style="140" bestFit="1" customWidth="1"/>
    <col min="1803" max="1803" width="7.85546875" style="140"/>
    <col min="1804" max="1804" width="14.28515625" style="140" bestFit="1" customWidth="1"/>
    <col min="1805" max="1805" width="16.42578125" style="140" bestFit="1" customWidth="1"/>
    <col min="1806" max="2048" width="7.85546875" style="140"/>
    <col min="2049" max="2049" width="29.28515625" style="140" customWidth="1"/>
    <col min="2050" max="2050" width="14.42578125" style="140" customWidth="1"/>
    <col min="2051" max="2051" width="16" style="140" customWidth="1"/>
    <col min="2052" max="2053" width="13.7109375" style="140" customWidth="1"/>
    <col min="2054" max="2054" width="16.85546875" style="140" customWidth="1"/>
    <col min="2055" max="2055" width="15.140625" style="140" customWidth="1"/>
    <col min="2056" max="2056" width="13.7109375" style="140" customWidth="1"/>
    <col min="2057" max="2057" width="17" style="140" customWidth="1"/>
    <col min="2058" max="2058" width="13.140625" style="140" bestFit="1" customWidth="1"/>
    <col min="2059" max="2059" width="7.85546875" style="140"/>
    <col min="2060" max="2060" width="14.28515625" style="140" bestFit="1" customWidth="1"/>
    <col min="2061" max="2061" width="16.42578125" style="140" bestFit="1" customWidth="1"/>
    <col min="2062" max="2304" width="7.85546875" style="140"/>
    <col min="2305" max="2305" width="29.28515625" style="140" customWidth="1"/>
    <col min="2306" max="2306" width="14.42578125" style="140" customWidth="1"/>
    <col min="2307" max="2307" width="16" style="140" customWidth="1"/>
    <col min="2308" max="2309" width="13.7109375" style="140" customWidth="1"/>
    <col min="2310" max="2310" width="16.85546875" style="140" customWidth="1"/>
    <col min="2311" max="2311" width="15.140625" style="140" customWidth="1"/>
    <col min="2312" max="2312" width="13.7109375" style="140" customWidth="1"/>
    <col min="2313" max="2313" width="17" style="140" customWidth="1"/>
    <col min="2314" max="2314" width="13.140625" style="140" bestFit="1" customWidth="1"/>
    <col min="2315" max="2315" width="7.85546875" style="140"/>
    <col min="2316" max="2316" width="14.28515625" style="140" bestFit="1" customWidth="1"/>
    <col min="2317" max="2317" width="16.42578125" style="140" bestFit="1" customWidth="1"/>
    <col min="2318" max="2560" width="7.85546875" style="140"/>
    <col min="2561" max="2561" width="29.28515625" style="140" customWidth="1"/>
    <col min="2562" max="2562" width="14.42578125" style="140" customWidth="1"/>
    <col min="2563" max="2563" width="16" style="140" customWidth="1"/>
    <col min="2564" max="2565" width="13.7109375" style="140" customWidth="1"/>
    <col min="2566" max="2566" width="16.85546875" style="140" customWidth="1"/>
    <col min="2567" max="2567" width="15.140625" style="140" customWidth="1"/>
    <col min="2568" max="2568" width="13.7109375" style="140" customWidth="1"/>
    <col min="2569" max="2569" width="17" style="140" customWidth="1"/>
    <col min="2570" max="2570" width="13.140625" style="140" bestFit="1" customWidth="1"/>
    <col min="2571" max="2571" width="7.85546875" style="140"/>
    <col min="2572" max="2572" width="14.28515625" style="140" bestFit="1" customWidth="1"/>
    <col min="2573" max="2573" width="16.42578125" style="140" bestFit="1" customWidth="1"/>
    <col min="2574" max="2816" width="7.85546875" style="140"/>
    <col min="2817" max="2817" width="29.28515625" style="140" customWidth="1"/>
    <col min="2818" max="2818" width="14.42578125" style="140" customWidth="1"/>
    <col min="2819" max="2819" width="16" style="140" customWidth="1"/>
    <col min="2820" max="2821" width="13.7109375" style="140" customWidth="1"/>
    <col min="2822" max="2822" width="16.85546875" style="140" customWidth="1"/>
    <col min="2823" max="2823" width="15.140625" style="140" customWidth="1"/>
    <col min="2824" max="2824" width="13.7109375" style="140" customWidth="1"/>
    <col min="2825" max="2825" width="17" style="140" customWidth="1"/>
    <col min="2826" max="2826" width="13.140625" style="140" bestFit="1" customWidth="1"/>
    <col min="2827" max="2827" width="7.85546875" style="140"/>
    <col min="2828" max="2828" width="14.28515625" style="140" bestFit="1" customWidth="1"/>
    <col min="2829" max="2829" width="16.42578125" style="140" bestFit="1" customWidth="1"/>
    <col min="2830" max="3072" width="7.85546875" style="140"/>
    <col min="3073" max="3073" width="29.28515625" style="140" customWidth="1"/>
    <col min="3074" max="3074" width="14.42578125" style="140" customWidth="1"/>
    <col min="3075" max="3075" width="16" style="140" customWidth="1"/>
    <col min="3076" max="3077" width="13.7109375" style="140" customWidth="1"/>
    <col min="3078" max="3078" width="16.85546875" style="140" customWidth="1"/>
    <col min="3079" max="3079" width="15.140625" style="140" customWidth="1"/>
    <col min="3080" max="3080" width="13.7109375" style="140" customWidth="1"/>
    <col min="3081" max="3081" width="17" style="140" customWidth="1"/>
    <col min="3082" max="3082" width="13.140625" style="140" bestFit="1" customWidth="1"/>
    <col min="3083" max="3083" width="7.85546875" style="140"/>
    <col min="3084" max="3084" width="14.28515625" style="140" bestFit="1" customWidth="1"/>
    <col min="3085" max="3085" width="16.42578125" style="140" bestFit="1" customWidth="1"/>
    <col min="3086" max="3328" width="7.85546875" style="140"/>
    <col min="3329" max="3329" width="29.28515625" style="140" customWidth="1"/>
    <col min="3330" max="3330" width="14.42578125" style="140" customWidth="1"/>
    <col min="3331" max="3331" width="16" style="140" customWidth="1"/>
    <col min="3332" max="3333" width="13.7109375" style="140" customWidth="1"/>
    <col min="3334" max="3334" width="16.85546875" style="140" customWidth="1"/>
    <col min="3335" max="3335" width="15.140625" style="140" customWidth="1"/>
    <col min="3336" max="3336" width="13.7109375" style="140" customWidth="1"/>
    <col min="3337" max="3337" width="17" style="140" customWidth="1"/>
    <col min="3338" max="3338" width="13.140625" style="140" bestFit="1" customWidth="1"/>
    <col min="3339" max="3339" width="7.85546875" style="140"/>
    <col min="3340" max="3340" width="14.28515625" style="140" bestFit="1" customWidth="1"/>
    <col min="3341" max="3341" width="16.42578125" style="140" bestFit="1" customWidth="1"/>
    <col min="3342" max="3584" width="7.85546875" style="140"/>
    <col min="3585" max="3585" width="29.28515625" style="140" customWidth="1"/>
    <col min="3586" max="3586" width="14.42578125" style="140" customWidth="1"/>
    <col min="3587" max="3587" width="16" style="140" customWidth="1"/>
    <col min="3588" max="3589" width="13.7109375" style="140" customWidth="1"/>
    <col min="3590" max="3590" width="16.85546875" style="140" customWidth="1"/>
    <col min="3591" max="3591" width="15.140625" style="140" customWidth="1"/>
    <col min="3592" max="3592" width="13.7109375" style="140" customWidth="1"/>
    <col min="3593" max="3593" width="17" style="140" customWidth="1"/>
    <col min="3594" max="3594" width="13.140625" style="140" bestFit="1" customWidth="1"/>
    <col min="3595" max="3595" width="7.85546875" style="140"/>
    <col min="3596" max="3596" width="14.28515625" style="140" bestFit="1" customWidth="1"/>
    <col min="3597" max="3597" width="16.42578125" style="140" bestFit="1" customWidth="1"/>
    <col min="3598" max="3840" width="7.85546875" style="140"/>
    <col min="3841" max="3841" width="29.28515625" style="140" customWidth="1"/>
    <col min="3842" max="3842" width="14.42578125" style="140" customWidth="1"/>
    <col min="3843" max="3843" width="16" style="140" customWidth="1"/>
    <col min="3844" max="3845" width="13.7109375" style="140" customWidth="1"/>
    <col min="3846" max="3846" width="16.85546875" style="140" customWidth="1"/>
    <col min="3847" max="3847" width="15.140625" style="140" customWidth="1"/>
    <col min="3848" max="3848" width="13.7109375" style="140" customWidth="1"/>
    <col min="3849" max="3849" width="17" style="140" customWidth="1"/>
    <col min="3850" max="3850" width="13.140625" style="140" bestFit="1" customWidth="1"/>
    <col min="3851" max="3851" width="7.85546875" style="140"/>
    <col min="3852" max="3852" width="14.28515625" style="140" bestFit="1" customWidth="1"/>
    <col min="3853" max="3853" width="16.42578125" style="140" bestFit="1" customWidth="1"/>
    <col min="3854" max="4096" width="7.85546875" style="140"/>
    <col min="4097" max="4097" width="29.28515625" style="140" customWidth="1"/>
    <col min="4098" max="4098" width="14.42578125" style="140" customWidth="1"/>
    <col min="4099" max="4099" width="16" style="140" customWidth="1"/>
    <col min="4100" max="4101" width="13.7109375" style="140" customWidth="1"/>
    <col min="4102" max="4102" width="16.85546875" style="140" customWidth="1"/>
    <col min="4103" max="4103" width="15.140625" style="140" customWidth="1"/>
    <col min="4104" max="4104" width="13.7109375" style="140" customWidth="1"/>
    <col min="4105" max="4105" width="17" style="140" customWidth="1"/>
    <col min="4106" max="4106" width="13.140625" style="140" bestFit="1" customWidth="1"/>
    <col min="4107" max="4107" width="7.85546875" style="140"/>
    <col min="4108" max="4108" width="14.28515625" style="140" bestFit="1" customWidth="1"/>
    <col min="4109" max="4109" width="16.42578125" style="140" bestFit="1" customWidth="1"/>
    <col min="4110" max="4352" width="7.85546875" style="140"/>
    <col min="4353" max="4353" width="29.28515625" style="140" customWidth="1"/>
    <col min="4354" max="4354" width="14.42578125" style="140" customWidth="1"/>
    <col min="4355" max="4355" width="16" style="140" customWidth="1"/>
    <col min="4356" max="4357" width="13.7109375" style="140" customWidth="1"/>
    <col min="4358" max="4358" width="16.85546875" style="140" customWidth="1"/>
    <col min="4359" max="4359" width="15.140625" style="140" customWidth="1"/>
    <col min="4360" max="4360" width="13.7109375" style="140" customWidth="1"/>
    <col min="4361" max="4361" width="17" style="140" customWidth="1"/>
    <col min="4362" max="4362" width="13.140625" style="140" bestFit="1" customWidth="1"/>
    <col min="4363" max="4363" width="7.85546875" style="140"/>
    <col min="4364" max="4364" width="14.28515625" style="140" bestFit="1" customWidth="1"/>
    <col min="4365" max="4365" width="16.42578125" style="140" bestFit="1" customWidth="1"/>
    <col min="4366" max="4608" width="7.85546875" style="140"/>
    <col min="4609" max="4609" width="29.28515625" style="140" customWidth="1"/>
    <col min="4610" max="4610" width="14.42578125" style="140" customWidth="1"/>
    <col min="4611" max="4611" width="16" style="140" customWidth="1"/>
    <col min="4612" max="4613" width="13.7109375" style="140" customWidth="1"/>
    <col min="4614" max="4614" width="16.85546875" style="140" customWidth="1"/>
    <col min="4615" max="4615" width="15.140625" style="140" customWidth="1"/>
    <col min="4616" max="4616" width="13.7109375" style="140" customWidth="1"/>
    <col min="4617" max="4617" width="17" style="140" customWidth="1"/>
    <col min="4618" max="4618" width="13.140625" style="140" bestFit="1" customWidth="1"/>
    <col min="4619" max="4619" width="7.85546875" style="140"/>
    <col min="4620" max="4620" width="14.28515625" style="140" bestFit="1" customWidth="1"/>
    <col min="4621" max="4621" width="16.42578125" style="140" bestFit="1" customWidth="1"/>
    <col min="4622" max="4864" width="7.85546875" style="140"/>
    <col min="4865" max="4865" width="29.28515625" style="140" customWidth="1"/>
    <col min="4866" max="4866" width="14.42578125" style="140" customWidth="1"/>
    <col min="4867" max="4867" width="16" style="140" customWidth="1"/>
    <col min="4868" max="4869" width="13.7109375" style="140" customWidth="1"/>
    <col min="4870" max="4870" width="16.85546875" style="140" customWidth="1"/>
    <col min="4871" max="4871" width="15.140625" style="140" customWidth="1"/>
    <col min="4872" max="4872" width="13.7109375" style="140" customWidth="1"/>
    <col min="4873" max="4873" width="17" style="140" customWidth="1"/>
    <col min="4874" max="4874" width="13.140625" style="140" bestFit="1" customWidth="1"/>
    <col min="4875" max="4875" width="7.85546875" style="140"/>
    <col min="4876" max="4876" width="14.28515625" style="140" bestFit="1" customWidth="1"/>
    <col min="4877" max="4877" width="16.42578125" style="140" bestFit="1" customWidth="1"/>
    <col min="4878" max="5120" width="7.85546875" style="140"/>
    <col min="5121" max="5121" width="29.28515625" style="140" customWidth="1"/>
    <col min="5122" max="5122" width="14.42578125" style="140" customWidth="1"/>
    <col min="5123" max="5123" width="16" style="140" customWidth="1"/>
    <col min="5124" max="5125" width="13.7109375" style="140" customWidth="1"/>
    <col min="5126" max="5126" width="16.85546875" style="140" customWidth="1"/>
    <col min="5127" max="5127" width="15.140625" style="140" customWidth="1"/>
    <col min="5128" max="5128" width="13.7109375" style="140" customWidth="1"/>
    <col min="5129" max="5129" width="17" style="140" customWidth="1"/>
    <col min="5130" max="5130" width="13.140625" style="140" bestFit="1" customWidth="1"/>
    <col min="5131" max="5131" width="7.85546875" style="140"/>
    <col min="5132" max="5132" width="14.28515625" style="140" bestFit="1" customWidth="1"/>
    <col min="5133" max="5133" width="16.42578125" style="140" bestFit="1" customWidth="1"/>
    <col min="5134" max="5376" width="7.85546875" style="140"/>
    <col min="5377" max="5377" width="29.28515625" style="140" customWidth="1"/>
    <col min="5378" max="5378" width="14.42578125" style="140" customWidth="1"/>
    <col min="5379" max="5379" width="16" style="140" customWidth="1"/>
    <col min="5380" max="5381" width="13.7109375" style="140" customWidth="1"/>
    <col min="5382" max="5382" width="16.85546875" style="140" customWidth="1"/>
    <col min="5383" max="5383" width="15.140625" style="140" customWidth="1"/>
    <col min="5384" max="5384" width="13.7109375" style="140" customWidth="1"/>
    <col min="5385" max="5385" width="17" style="140" customWidth="1"/>
    <col min="5386" max="5386" width="13.140625" style="140" bestFit="1" customWidth="1"/>
    <col min="5387" max="5387" width="7.85546875" style="140"/>
    <col min="5388" max="5388" width="14.28515625" style="140" bestFit="1" customWidth="1"/>
    <col min="5389" max="5389" width="16.42578125" style="140" bestFit="1" customWidth="1"/>
    <col min="5390" max="5632" width="7.85546875" style="140"/>
    <col min="5633" max="5633" width="29.28515625" style="140" customWidth="1"/>
    <col min="5634" max="5634" width="14.42578125" style="140" customWidth="1"/>
    <col min="5635" max="5635" width="16" style="140" customWidth="1"/>
    <col min="5636" max="5637" width="13.7109375" style="140" customWidth="1"/>
    <col min="5638" max="5638" width="16.85546875" style="140" customWidth="1"/>
    <col min="5639" max="5639" width="15.140625" style="140" customWidth="1"/>
    <col min="5640" max="5640" width="13.7109375" style="140" customWidth="1"/>
    <col min="5641" max="5641" width="17" style="140" customWidth="1"/>
    <col min="5642" max="5642" width="13.140625" style="140" bestFit="1" customWidth="1"/>
    <col min="5643" max="5643" width="7.85546875" style="140"/>
    <col min="5644" max="5644" width="14.28515625" style="140" bestFit="1" customWidth="1"/>
    <col min="5645" max="5645" width="16.42578125" style="140" bestFit="1" customWidth="1"/>
    <col min="5646" max="5888" width="7.85546875" style="140"/>
    <col min="5889" max="5889" width="29.28515625" style="140" customWidth="1"/>
    <col min="5890" max="5890" width="14.42578125" style="140" customWidth="1"/>
    <col min="5891" max="5891" width="16" style="140" customWidth="1"/>
    <col min="5892" max="5893" width="13.7109375" style="140" customWidth="1"/>
    <col min="5894" max="5894" width="16.85546875" style="140" customWidth="1"/>
    <col min="5895" max="5895" width="15.140625" style="140" customWidth="1"/>
    <col min="5896" max="5896" width="13.7109375" style="140" customWidth="1"/>
    <col min="5897" max="5897" width="17" style="140" customWidth="1"/>
    <col min="5898" max="5898" width="13.140625" style="140" bestFit="1" customWidth="1"/>
    <col min="5899" max="5899" width="7.85546875" style="140"/>
    <col min="5900" max="5900" width="14.28515625" style="140" bestFit="1" customWidth="1"/>
    <col min="5901" max="5901" width="16.42578125" style="140" bestFit="1" customWidth="1"/>
    <col min="5902" max="6144" width="7.85546875" style="140"/>
    <col min="6145" max="6145" width="29.28515625" style="140" customWidth="1"/>
    <col min="6146" max="6146" width="14.42578125" style="140" customWidth="1"/>
    <col min="6147" max="6147" width="16" style="140" customWidth="1"/>
    <col min="6148" max="6149" width="13.7109375" style="140" customWidth="1"/>
    <col min="6150" max="6150" width="16.85546875" style="140" customWidth="1"/>
    <col min="6151" max="6151" width="15.140625" style="140" customWidth="1"/>
    <col min="6152" max="6152" width="13.7109375" style="140" customWidth="1"/>
    <col min="6153" max="6153" width="17" style="140" customWidth="1"/>
    <col min="6154" max="6154" width="13.140625" style="140" bestFit="1" customWidth="1"/>
    <col min="6155" max="6155" width="7.85546875" style="140"/>
    <col min="6156" max="6156" width="14.28515625" style="140" bestFit="1" customWidth="1"/>
    <col min="6157" max="6157" width="16.42578125" style="140" bestFit="1" customWidth="1"/>
    <col min="6158" max="6400" width="7.85546875" style="140"/>
    <col min="6401" max="6401" width="29.28515625" style="140" customWidth="1"/>
    <col min="6402" max="6402" width="14.42578125" style="140" customWidth="1"/>
    <col min="6403" max="6403" width="16" style="140" customWidth="1"/>
    <col min="6404" max="6405" width="13.7109375" style="140" customWidth="1"/>
    <col min="6406" max="6406" width="16.85546875" style="140" customWidth="1"/>
    <col min="6407" max="6407" width="15.140625" style="140" customWidth="1"/>
    <col min="6408" max="6408" width="13.7109375" style="140" customWidth="1"/>
    <col min="6409" max="6409" width="17" style="140" customWidth="1"/>
    <col min="6410" max="6410" width="13.140625" style="140" bestFit="1" customWidth="1"/>
    <col min="6411" max="6411" width="7.85546875" style="140"/>
    <col min="6412" max="6412" width="14.28515625" style="140" bestFit="1" customWidth="1"/>
    <col min="6413" max="6413" width="16.42578125" style="140" bestFit="1" customWidth="1"/>
    <col min="6414" max="6656" width="7.85546875" style="140"/>
    <col min="6657" max="6657" width="29.28515625" style="140" customWidth="1"/>
    <col min="6658" max="6658" width="14.42578125" style="140" customWidth="1"/>
    <col min="6659" max="6659" width="16" style="140" customWidth="1"/>
    <col min="6660" max="6661" width="13.7109375" style="140" customWidth="1"/>
    <col min="6662" max="6662" width="16.85546875" style="140" customWidth="1"/>
    <col min="6663" max="6663" width="15.140625" style="140" customWidth="1"/>
    <col min="6664" max="6664" width="13.7109375" style="140" customWidth="1"/>
    <col min="6665" max="6665" width="17" style="140" customWidth="1"/>
    <col min="6666" max="6666" width="13.140625" style="140" bestFit="1" customWidth="1"/>
    <col min="6667" max="6667" width="7.85546875" style="140"/>
    <col min="6668" max="6668" width="14.28515625" style="140" bestFit="1" customWidth="1"/>
    <col min="6669" max="6669" width="16.42578125" style="140" bestFit="1" customWidth="1"/>
    <col min="6670" max="6912" width="7.85546875" style="140"/>
    <col min="6913" max="6913" width="29.28515625" style="140" customWidth="1"/>
    <col min="6914" max="6914" width="14.42578125" style="140" customWidth="1"/>
    <col min="6915" max="6915" width="16" style="140" customWidth="1"/>
    <col min="6916" max="6917" width="13.7109375" style="140" customWidth="1"/>
    <col min="6918" max="6918" width="16.85546875" style="140" customWidth="1"/>
    <col min="6919" max="6919" width="15.140625" style="140" customWidth="1"/>
    <col min="6920" max="6920" width="13.7109375" style="140" customWidth="1"/>
    <col min="6921" max="6921" width="17" style="140" customWidth="1"/>
    <col min="6922" max="6922" width="13.140625" style="140" bestFit="1" customWidth="1"/>
    <col min="6923" max="6923" width="7.85546875" style="140"/>
    <col min="6924" max="6924" width="14.28515625" style="140" bestFit="1" customWidth="1"/>
    <col min="6925" max="6925" width="16.42578125" style="140" bestFit="1" customWidth="1"/>
    <col min="6926" max="7168" width="7.85546875" style="140"/>
    <col min="7169" max="7169" width="29.28515625" style="140" customWidth="1"/>
    <col min="7170" max="7170" width="14.42578125" style="140" customWidth="1"/>
    <col min="7171" max="7171" width="16" style="140" customWidth="1"/>
    <col min="7172" max="7173" width="13.7109375" style="140" customWidth="1"/>
    <col min="7174" max="7174" width="16.85546875" style="140" customWidth="1"/>
    <col min="7175" max="7175" width="15.140625" style="140" customWidth="1"/>
    <col min="7176" max="7176" width="13.7109375" style="140" customWidth="1"/>
    <col min="7177" max="7177" width="17" style="140" customWidth="1"/>
    <col min="7178" max="7178" width="13.140625" style="140" bestFit="1" customWidth="1"/>
    <col min="7179" max="7179" width="7.85546875" style="140"/>
    <col min="7180" max="7180" width="14.28515625" style="140" bestFit="1" customWidth="1"/>
    <col min="7181" max="7181" width="16.42578125" style="140" bestFit="1" customWidth="1"/>
    <col min="7182" max="7424" width="7.85546875" style="140"/>
    <col min="7425" max="7425" width="29.28515625" style="140" customWidth="1"/>
    <col min="7426" max="7426" width="14.42578125" style="140" customWidth="1"/>
    <col min="7427" max="7427" width="16" style="140" customWidth="1"/>
    <col min="7428" max="7429" width="13.7109375" style="140" customWidth="1"/>
    <col min="7430" max="7430" width="16.85546875" style="140" customWidth="1"/>
    <col min="7431" max="7431" width="15.140625" style="140" customWidth="1"/>
    <col min="7432" max="7432" width="13.7109375" style="140" customWidth="1"/>
    <col min="7433" max="7433" width="17" style="140" customWidth="1"/>
    <col min="7434" max="7434" width="13.140625" style="140" bestFit="1" customWidth="1"/>
    <col min="7435" max="7435" width="7.85546875" style="140"/>
    <col min="7436" max="7436" width="14.28515625" style="140" bestFit="1" customWidth="1"/>
    <col min="7437" max="7437" width="16.42578125" style="140" bestFit="1" customWidth="1"/>
    <col min="7438" max="7680" width="7.85546875" style="140"/>
    <col min="7681" max="7681" width="29.28515625" style="140" customWidth="1"/>
    <col min="7682" max="7682" width="14.42578125" style="140" customWidth="1"/>
    <col min="7683" max="7683" width="16" style="140" customWidth="1"/>
    <col min="7684" max="7685" width="13.7109375" style="140" customWidth="1"/>
    <col min="7686" max="7686" width="16.85546875" style="140" customWidth="1"/>
    <col min="7687" max="7687" width="15.140625" style="140" customWidth="1"/>
    <col min="7688" max="7688" width="13.7109375" style="140" customWidth="1"/>
    <col min="7689" max="7689" width="17" style="140" customWidth="1"/>
    <col min="7690" max="7690" width="13.140625" style="140" bestFit="1" customWidth="1"/>
    <col min="7691" max="7691" width="7.85546875" style="140"/>
    <col min="7692" max="7692" width="14.28515625" style="140" bestFit="1" customWidth="1"/>
    <col min="7693" max="7693" width="16.42578125" style="140" bestFit="1" customWidth="1"/>
    <col min="7694" max="7936" width="7.85546875" style="140"/>
    <col min="7937" max="7937" width="29.28515625" style="140" customWidth="1"/>
    <col min="7938" max="7938" width="14.42578125" style="140" customWidth="1"/>
    <col min="7939" max="7939" width="16" style="140" customWidth="1"/>
    <col min="7940" max="7941" width="13.7109375" style="140" customWidth="1"/>
    <col min="7942" max="7942" width="16.85546875" style="140" customWidth="1"/>
    <col min="7943" max="7943" width="15.140625" style="140" customWidth="1"/>
    <col min="7944" max="7944" width="13.7109375" style="140" customWidth="1"/>
    <col min="7945" max="7945" width="17" style="140" customWidth="1"/>
    <col min="7946" max="7946" width="13.140625" style="140" bestFit="1" customWidth="1"/>
    <col min="7947" max="7947" width="7.85546875" style="140"/>
    <col min="7948" max="7948" width="14.28515625" style="140" bestFit="1" customWidth="1"/>
    <col min="7949" max="7949" width="16.42578125" style="140" bestFit="1" customWidth="1"/>
    <col min="7950" max="8192" width="7.85546875" style="140"/>
    <col min="8193" max="8193" width="29.28515625" style="140" customWidth="1"/>
    <col min="8194" max="8194" width="14.42578125" style="140" customWidth="1"/>
    <col min="8195" max="8195" width="16" style="140" customWidth="1"/>
    <col min="8196" max="8197" width="13.7109375" style="140" customWidth="1"/>
    <col min="8198" max="8198" width="16.85546875" style="140" customWidth="1"/>
    <col min="8199" max="8199" width="15.140625" style="140" customWidth="1"/>
    <col min="8200" max="8200" width="13.7109375" style="140" customWidth="1"/>
    <col min="8201" max="8201" width="17" style="140" customWidth="1"/>
    <col min="8202" max="8202" width="13.140625" style="140" bestFit="1" customWidth="1"/>
    <col min="8203" max="8203" width="7.85546875" style="140"/>
    <col min="8204" max="8204" width="14.28515625" style="140" bestFit="1" customWidth="1"/>
    <col min="8205" max="8205" width="16.42578125" style="140" bestFit="1" customWidth="1"/>
    <col min="8206" max="8448" width="7.85546875" style="140"/>
    <col min="8449" max="8449" width="29.28515625" style="140" customWidth="1"/>
    <col min="8450" max="8450" width="14.42578125" style="140" customWidth="1"/>
    <col min="8451" max="8451" width="16" style="140" customWidth="1"/>
    <col min="8452" max="8453" width="13.7109375" style="140" customWidth="1"/>
    <col min="8454" max="8454" width="16.85546875" style="140" customWidth="1"/>
    <col min="8455" max="8455" width="15.140625" style="140" customWidth="1"/>
    <col min="8456" max="8456" width="13.7109375" style="140" customWidth="1"/>
    <col min="8457" max="8457" width="17" style="140" customWidth="1"/>
    <col min="8458" max="8458" width="13.140625" style="140" bestFit="1" customWidth="1"/>
    <col min="8459" max="8459" width="7.85546875" style="140"/>
    <col min="8460" max="8460" width="14.28515625" style="140" bestFit="1" customWidth="1"/>
    <col min="8461" max="8461" width="16.42578125" style="140" bestFit="1" customWidth="1"/>
    <col min="8462" max="8704" width="7.85546875" style="140"/>
    <col min="8705" max="8705" width="29.28515625" style="140" customWidth="1"/>
    <col min="8706" max="8706" width="14.42578125" style="140" customWidth="1"/>
    <col min="8707" max="8707" width="16" style="140" customWidth="1"/>
    <col min="8708" max="8709" width="13.7109375" style="140" customWidth="1"/>
    <col min="8710" max="8710" width="16.85546875" style="140" customWidth="1"/>
    <col min="8711" max="8711" width="15.140625" style="140" customWidth="1"/>
    <col min="8712" max="8712" width="13.7109375" style="140" customWidth="1"/>
    <col min="8713" max="8713" width="17" style="140" customWidth="1"/>
    <col min="8714" max="8714" width="13.140625" style="140" bestFit="1" customWidth="1"/>
    <col min="8715" max="8715" width="7.85546875" style="140"/>
    <col min="8716" max="8716" width="14.28515625" style="140" bestFit="1" customWidth="1"/>
    <col min="8717" max="8717" width="16.42578125" style="140" bestFit="1" customWidth="1"/>
    <col min="8718" max="8960" width="7.85546875" style="140"/>
    <col min="8961" max="8961" width="29.28515625" style="140" customWidth="1"/>
    <col min="8962" max="8962" width="14.42578125" style="140" customWidth="1"/>
    <col min="8963" max="8963" width="16" style="140" customWidth="1"/>
    <col min="8964" max="8965" width="13.7109375" style="140" customWidth="1"/>
    <col min="8966" max="8966" width="16.85546875" style="140" customWidth="1"/>
    <col min="8967" max="8967" width="15.140625" style="140" customWidth="1"/>
    <col min="8968" max="8968" width="13.7109375" style="140" customWidth="1"/>
    <col min="8969" max="8969" width="17" style="140" customWidth="1"/>
    <col min="8970" max="8970" width="13.140625" style="140" bestFit="1" customWidth="1"/>
    <col min="8971" max="8971" width="7.85546875" style="140"/>
    <col min="8972" max="8972" width="14.28515625" style="140" bestFit="1" customWidth="1"/>
    <col min="8973" max="8973" width="16.42578125" style="140" bestFit="1" customWidth="1"/>
    <col min="8974" max="9216" width="7.85546875" style="140"/>
    <col min="9217" max="9217" width="29.28515625" style="140" customWidth="1"/>
    <col min="9218" max="9218" width="14.42578125" style="140" customWidth="1"/>
    <col min="9219" max="9219" width="16" style="140" customWidth="1"/>
    <col min="9220" max="9221" width="13.7109375" style="140" customWidth="1"/>
    <col min="9222" max="9222" width="16.85546875" style="140" customWidth="1"/>
    <col min="9223" max="9223" width="15.140625" style="140" customWidth="1"/>
    <col min="9224" max="9224" width="13.7109375" style="140" customWidth="1"/>
    <col min="9225" max="9225" width="17" style="140" customWidth="1"/>
    <col min="9226" max="9226" width="13.140625" style="140" bestFit="1" customWidth="1"/>
    <col min="9227" max="9227" width="7.85546875" style="140"/>
    <col min="9228" max="9228" width="14.28515625" style="140" bestFit="1" customWidth="1"/>
    <col min="9229" max="9229" width="16.42578125" style="140" bestFit="1" customWidth="1"/>
    <col min="9230" max="9472" width="7.85546875" style="140"/>
    <col min="9473" max="9473" width="29.28515625" style="140" customWidth="1"/>
    <col min="9474" max="9474" width="14.42578125" style="140" customWidth="1"/>
    <col min="9475" max="9475" width="16" style="140" customWidth="1"/>
    <col min="9476" max="9477" width="13.7109375" style="140" customWidth="1"/>
    <col min="9478" max="9478" width="16.85546875" style="140" customWidth="1"/>
    <col min="9479" max="9479" width="15.140625" style="140" customWidth="1"/>
    <col min="9480" max="9480" width="13.7109375" style="140" customWidth="1"/>
    <col min="9481" max="9481" width="17" style="140" customWidth="1"/>
    <col min="9482" max="9482" width="13.140625" style="140" bestFit="1" customWidth="1"/>
    <col min="9483" max="9483" width="7.85546875" style="140"/>
    <col min="9484" max="9484" width="14.28515625" style="140" bestFit="1" customWidth="1"/>
    <col min="9485" max="9485" width="16.42578125" style="140" bestFit="1" customWidth="1"/>
    <col min="9486" max="9728" width="7.85546875" style="140"/>
    <col min="9729" max="9729" width="29.28515625" style="140" customWidth="1"/>
    <col min="9730" max="9730" width="14.42578125" style="140" customWidth="1"/>
    <col min="9731" max="9731" width="16" style="140" customWidth="1"/>
    <col min="9732" max="9733" width="13.7109375" style="140" customWidth="1"/>
    <col min="9734" max="9734" width="16.85546875" style="140" customWidth="1"/>
    <col min="9735" max="9735" width="15.140625" style="140" customWidth="1"/>
    <col min="9736" max="9736" width="13.7109375" style="140" customWidth="1"/>
    <col min="9737" max="9737" width="17" style="140" customWidth="1"/>
    <col min="9738" max="9738" width="13.140625" style="140" bestFit="1" customWidth="1"/>
    <col min="9739" max="9739" width="7.85546875" style="140"/>
    <col min="9740" max="9740" width="14.28515625" style="140" bestFit="1" customWidth="1"/>
    <col min="9741" max="9741" width="16.42578125" style="140" bestFit="1" customWidth="1"/>
    <col min="9742" max="9984" width="7.85546875" style="140"/>
    <col min="9985" max="9985" width="29.28515625" style="140" customWidth="1"/>
    <col min="9986" max="9986" width="14.42578125" style="140" customWidth="1"/>
    <col min="9987" max="9987" width="16" style="140" customWidth="1"/>
    <col min="9988" max="9989" width="13.7109375" style="140" customWidth="1"/>
    <col min="9990" max="9990" width="16.85546875" style="140" customWidth="1"/>
    <col min="9991" max="9991" width="15.140625" style="140" customWidth="1"/>
    <col min="9992" max="9992" width="13.7109375" style="140" customWidth="1"/>
    <col min="9993" max="9993" width="17" style="140" customWidth="1"/>
    <col min="9994" max="9994" width="13.140625" style="140" bestFit="1" customWidth="1"/>
    <col min="9995" max="9995" width="7.85546875" style="140"/>
    <col min="9996" max="9996" width="14.28515625" style="140" bestFit="1" customWidth="1"/>
    <col min="9997" max="9997" width="16.42578125" style="140" bestFit="1" customWidth="1"/>
    <col min="9998" max="10240" width="7.85546875" style="140"/>
    <col min="10241" max="10241" width="29.28515625" style="140" customWidth="1"/>
    <col min="10242" max="10242" width="14.42578125" style="140" customWidth="1"/>
    <col min="10243" max="10243" width="16" style="140" customWidth="1"/>
    <col min="10244" max="10245" width="13.7109375" style="140" customWidth="1"/>
    <col min="10246" max="10246" width="16.85546875" style="140" customWidth="1"/>
    <col min="10247" max="10247" width="15.140625" style="140" customWidth="1"/>
    <col min="10248" max="10248" width="13.7109375" style="140" customWidth="1"/>
    <col min="10249" max="10249" width="17" style="140" customWidth="1"/>
    <col min="10250" max="10250" width="13.140625" style="140" bestFit="1" customWidth="1"/>
    <col min="10251" max="10251" width="7.85546875" style="140"/>
    <col min="10252" max="10252" width="14.28515625" style="140" bestFit="1" customWidth="1"/>
    <col min="10253" max="10253" width="16.42578125" style="140" bestFit="1" customWidth="1"/>
    <col min="10254" max="10496" width="7.85546875" style="140"/>
    <col min="10497" max="10497" width="29.28515625" style="140" customWidth="1"/>
    <col min="10498" max="10498" width="14.42578125" style="140" customWidth="1"/>
    <col min="10499" max="10499" width="16" style="140" customWidth="1"/>
    <col min="10500" max="10501" width="13.7109375" style="140" customWidth="1"/>
    <col min="10502" max="10502" width="16.85546875" style="140" customWidth="1"/>
    <col min="10503" max="10503" width="15.140625" style="140" customWidth="1"/>
    <col min="10504" max="10504" width="13.7109375" style="140" customWidth="1"/>
    <col min="10505" max="10505" width="17" style="140" customWidth="1"/>
    <col min="10506" max="10506" width="13.140625" style="140" bestFit="1" customWidth="1"/>
    <col min="10507" max="10507" width="7.85546875" style="140"/>
    <col min="10508" max="10508" width="14.28515625" style="140" bestFit="1" customWidth="1"/>
    <col min="10509" max="10509" width="16.42578125" style="140" bestFit="1" customWidth="1"/>
    <col min="10510" max="10752" width="7.85546875" style="140"/>
    <col min="10753" max="10753" width="29.28515625" style="140" customWidth="1"/>
    <col min="10754" max="10754" width="14.42578125" style="140" customWidth="1"/>
    <col min="10755" max="10755" width="16" style="140" customWidth="1"/>
    <col min="10756" max="10757" width="13.7109375" style="140" customWidth="1"/>
    <col min="10758" max="10758" width="16.85546875" style="140" customWidth="1"/>
    <col min="10759" max="10759" width="15.140625" style="140" customWidth="1"/>
    <col min="10760" max="10760" width="13.7109375" style="140" customWidth="1"/>
    <col min="10761" max="10761" width="17" style="140" customWidth="1"/>
    <col min="10762" max="10762" width="13.140625" style="140" bestFit="1" customWidth="1"/>
    <col min="10763" max="10763" width="7.85546875" style="140"/>
    <col min="10764" max="10764" width="14.28515625" style="140" bestFit="1" customWidth="1"/>
    <col min="10765" max="10765" width="16.42578125" style="140" bestFit="1" customWidth="1"/>
    <col min="10766" max="11008" width="7.85546875" style="140"/>
    <col min="11009" max="11009" width="29.28515625" style="140" customWidth="1"/>
    <col min="11010" max="11010" width="14.42578125" style="140" customWidth="1"/>
    <col min="11011" max="11011" width="16" style="140" customWidth="1"/>
    <col min="11012" max="11013" width="13.7109375" style="140" customWidth="1"/>
    <col min="11014" max="11014" width="16.85546875" style="140" customWidth="1"/>
    <col min="11015" max="11015" width="15.140625" style="140" customWidth="1"/>
    <col min="11016" max="11016" width="13.7109375" style="140" customWidth="1"/>
    <col min="11017" max="11017" width="17" style="140" customWidth="1"/>
    <col min="11018" max="11018" width="13.140625" style="140" bestFit="1" customWidth="1"/>
    <col min="11019" max="11019" width="7.85546875" style="140"/>
    <col min="11020" max="11020" width="14.28515625" style="140" bestFit="1" customWidth="1"/>
    <col min="11021" max="11021" width="16.42578125" style="140" bestFit="1" customWidth="1"/>
    <col min="11022" max="11264" width="7.85546875" style="140"/>
    <col min="11265" max="11265" width="29.28515625" style="140" customWidth="1"/>
    <col min="11266" max="11266" width="14.42578125" style="140" customWidth="1"/>
    <col min="11267" max="11267" width="16" style="140" customWidth="1"/>
    <col min="11268" max="11269" width="13.7109375" style="140" customWidth="1"/>
    <col min="11270" max="11270" width="16.85546875" style="140" customWidth="1"/>
    <col min="11271" max="11271" width="15.140625" style="140" customWidth="1"/>
    <col min="11272" max="11272" width="13.7109375" style="140" customWidth="1"/>
    <col min="11273" max="11273" width="17" style="140" customWidth="1"/>
    <col min="11274" max="11274" width="13.140625" style="140" bestFit="1" customWidth="1"/>
    <col min="11275" max="11275" width="7.85546875" style="140"/>
    <col min="11276" max="11276" width="14.28515625" style="140" bestFit="1" customWidth="1"/>
    <col min="11277" max="11277" width="16.42578125" style="140" bestFit="1" customWidth="1"/>
    <col min="11278" max="11520" width="7.85546875" style="140"/>
    <col min="11521" max="11521" width="29.28515625" style="140" customWidth="1"/>
    <col min="11522" max="11522" width="14.42578125" style="140" customWidth="1"/>
    <col min="11523" max="11523" width="16" style="140" customWidth="1"/>
    <col min="11524" max="11525" width="13.7109375" style="140" customWidth="1"/>
    <col min="11526" max="11526" width="16.85546875" style="140" customWidth="1"/>
    <col min="11527" max="11527" width="15.140625" style="140" customWidth="1"/>
    <col min="11528" max="11528" width="13.7109375" style="140" customWidth="1"/>
    <col min="11529" max="11529" width="17" style="140" customWidth="1"/>
    <col min="11530" max="11530" width="13.140625" style="140" bestFit="1" customWidth="1"/>
    <col min="11531" max="11531" width="7.85546875" style="140"/>
    <col min="11532" max="11532" width="14.28515625" style="140" bestFit="1" customWidth="1"/>
    <col min="11533" max="11533" width="16.42578125" style="140" bestFit="1" customWidth="1"/>
    <col min="11534" max="11776" width="7.85546875" style="140"/>
    <col min="11777" max="11777" width="29.28515625" style="140" customWidth="1"/>
    <col min="11778" max="11778" width="14.42578125" style="140" customWidth="1"/>
    <col min="11779" max="11779" width="16" style="140" customWidth="1"/>
    <col min="11780" max="11781" width="13.7109375" style="140" customWidth="1"/>
    <col min="11782" max="11782" width="16.85546875" style="140" customWidth="1"/>
    <col min="11783" max="11783" width="15.140625" style="140" customWidth="1"/>
    <col min="11784" max="11784" width="13.7109375" style="140" customWidth="1"/>
    <col min="11785" max="11785" width="17" style="140" customWidth="1"/>
    <col min="11786" max="11786" width="13.140625" style="140" bestFit="1" customWidth="1"/>
    <col min="11787" max="11787" width="7.85546875" style="140"/>
    <col min="11788" max="11788" width="14.28515625" style="140" bestFit="1" customWidth="1"/>
    <col min="11789" max="11789" width="16.42578125" style="140" bestFit="1" customWidth="1"/>
    <col min="11790" max="12032" width="7.85546875" style="140"/>
    <col min="12033" max="12033" width="29.28515625" style="140" customWidth="1"/>
    <col min="12034" max="12034" width="14.42578125" style="140" customWidth="1"/>
    <col min="12035" max="12035" width="16" style="140" customWidth="1"/>
    <col min="12036" max="12037" width="13.7109375" style="140" customWidth="1"/>
    <col min="12038" max="12038" width="16.85546875" style="140" customWidth="1"/>
    <col min="12039" max="12039" width="15.140625" style="140" customWidth="1"/>
    <col min="12040" max="12040" width="13.7109375" style="140" customWidth="1"/>
    <col min="12041" max="12041" width="17" style="140" customWidth="1"/>
    <col min="12042" max="12042" width="13.140625" style="140" bestFit="1" customWidth="1"/>
    <col min="12043" max="12043" width="7.85546875" style="140"/>
    <col min="12044" max="12044" width="14.28515625" style="140" bestFit="1" customWidth="1"/>
    <col min="12045" max="12045" width="16.42578125" style="140" bestFit="1" customWidth="1"/>
    <col min="12046" max="12288" width="7.85546875" style="140"/>
    <col min="12289" max="12289" width="29.28515625" style="140" customWidth="1"/>
    <col min="12290" max="12290" width="14.42578125" style="140" customWidth="1"/>
    <col min="12291" max="12291" width="16" style="140" customWidth="1"/>
    <col min="12292" max="12293" width="13.7109375" style="140" customWidth="1"/>
    <col min="12294" max="12294" width="16.85546875" style="140" customWidth="1"/>
    <col min="12295" max="12295" width="15.140625" style="140" customWidth="1"/>
    <col min="12296" max="12296" width="13.7109375" style="140" customWidth="1"/>
    <col min="12297" max="12297" width="17" style="140" customWidth="1"/>
    <col min="12298" max="12298" width="13.140625" style="140" bestFit="1" customWidth="1"/>
    <col min="12299" max="12299" width="7.85546875" style="140"/>
    <col min="12300" max="12300" width="14.28515625" style="140" bestFit="1" customWidth="1"/>
    <col min="12301" max="12301" width="16.42578125" style="140" bestFit="1" customWidth="1"/>
    <col min="12302" max="12544" width="7.85546875" style="140"/>
    <col min="12545" max="12545" width="29.28515625" style="140" customWidth="1"/>
    <col min="12546" max="12546" width="14.42578125" style="140" customWidth="1"/>
    <col min="12547" max="12547" width="16" style="140" customWidth="1"/>
    <col min="12548" max="12549" width="13.7109375" style="140" customWidth="1"/>
    <col min="12550" max="12550" width="16.85546875" style="140" customWidth="1"/>
    <col min="12551" max="12551" width="15.140625" style="140" customWidth="1"/>
    <col min="12552" max="12552" width="13.7109375" style="140" customWidth="1"/>
    <col min="12553" max="12553" width="17" style="140" customWidth="1"/>
    <col min="12554" max="12554" width="13.140625" style="140" bestFit="1" customWidth="1"/>
    <col min="12555" max="12555" width="7.85546875" style="140"/>
    <col min="12556" max="12556" width="14.28515625" style="140" bestFit="1" customWidth="1"/>
    <col min="12557" max="12557" width="16.42578125" style="140" bestFit="1" customWidth="1"/>
    <col min="12558" max="12800" width="7.85546875" style="140"/>
    <col min="12801" max="12801" width="29.28515625" style="140" customWidth="1"/>
    <col min="12802" max="12802" width="14.42578125" style="140" customWidth="1"/>
    <col min="12803" max="12803" width="16" style="140" customWidth="1"/>
    <col min="12804" max="12805" width="13.7109375" style="140" customWidth="1"/>
    <col min="12806" max="12806" width="16.85546875" style="140" customWidth="1"/>
    <col min="12807" max="12807" width="15.140625" style="140" customWidth="1"/>
    <col min="12808" max="12808" width="13.7109375" style="140" customWidth="1"/>
    <col min="12809" max="12809" width="17" style="140" customWidth="1"/>
    <col min="12810" max="12810" width="13.140625" style="140" bestFit="1" customWidth="1"/>
    <col min="12811" max="12811" width="7.85546875" style="140"/>
    <col min="12812" max="12812" width="14.28515625" style="140" bestFit="1" customWidth="1"/>
    <col min="12813" max="12813" width="16.42578125" style="140" bestFit="1" customWidth="1"/>
    <col min="12814" max="13056" width="7.85546875" style="140"/>
    <col min="13057" max="13057" width="29.28515625" style="140" customWidth="1"/>
    <col min="13058" max="13058" width="14.42578125" style="140" customWidth="1"/>
    <col min="13059" max="13059" width="16" style="140" customWidth="1"/>
    <col min="13060" max="13061" width="13.7109375" style="140" customWidth="1"/>
    <col min="13062" max="13062" width="16.85546875" style="140" customWidth="1"/>
    <col min="13063" max="13063" width="15.140625" style="140" customWidth="1"/>
    <col min="13064" max="13064" width="13.7109375" style="140" customWidth="1"/>
    <col min="13065" max="13065" width="17" style="140" customWidth="1"/>
    <col min="13066" max="13066" width="13.140625" style="140" bestFit="1" customWidth="1"/>
    <col min="13067" max="13067" width="7.85546875" style="140"/>
    <col min="13068" max="13068" width="14.28515625" style="140" bestFit="1" customWidth="1"/>
    <col min="13069" max="13069" width="16.42578125" style="140" bestFit="1" customWidth="1"/>
    <col min="13070" max="13312" width="7.85546875" style="140"/>
    <col min="13313" max="13313" width="29.28515625" style="140" customWidth="1"/>
    <col min="13314" max="13314" width="14.42578125" style="140" customWidth="1"/>
    <col min="13315" max="13315" width="16" style="140" customWidth="1"/>
    <col min="13316" max="13317" width="13.7109375" style="140" customWidth="1"/>
    <col min="13318" max="13318" width="16.85546875" style="140" customWidth="1"/>
    <col min="13319" max="13319" width="15.140625" style="140" customWidth="1"/>
    <col min="13320" max="13320" width="13.7109375" style="140" customWidth="1"/>
    <col min="13321" max="13321" width="17" style="140" customWidth="1"/>
    <col min="13322" max="13322" width="13.140625" style="140" bestFit="1" customWidth="1"/>
    <col min="13323" max="13323" width="7.85546875" style="140"/>
    <col min="13324" max="13324" width="14.28515625" style="140" bestFit="1" customWidth="1"/>
    <col min="13325" max="13325" width="16.42578125" style="140" bestFit="1" customWidth="1"/>
    <col min="13326" max="13568" width="7.85546875" style="140"/>
    <col min="13569" max="13569" width="29.28515625" style="140" customWidth="1"/>
    <col min="13570" max="13570" width="14.42578125" style="140" customWidth="1"/>
    <col min="13571" max="13571" width="16" style="140" customWidth="1"/>
    <col min="13572" max="13573" width="13.7109375" style="140" customWidth="1"/>
    <col min="13574" max="13574" width="16.85546875" style="140" customWidth="1"/>
    <col min="13575" max="13575" width="15.140625" style="140" customWidth="1"/>
    <col min="13576" max="13576" width="13.7109375" style="140" customWidth="1"/>
    <col min="13577" max="13577" width="17" style="140" customWidth="1"/>
    <col min="13578" max="13578" width="13.140625" style="140" bestFit="1" customWidth="1"/>
    <col min="13579" max="13579" width="7.85546875" style="140"/>
    <col min="13580" max="13580" width="14.28515625" style="140" bestFit="1" customWidth="1"/>
    <col min="13581" max="13581" width="16.42578125" style="140" bestFit="1" customWidth="1"/>
    <col min="13582" max="13824" width="7.85546875" style="140"/>
    <col min="13825" max="13825" width="29.28515625" style="140" customWidth="1"/>
    <col min="13826" max="13826" width="14.42578125" style="140" customWidth="1"/>
    <col min="13827" max="13827" width="16" style="140" customWidth="1"/>
    <col min="13828" max="13829" width="13.7109375" style="140" customWidth="1"/>
    <col min="13830" max="13830" width="16.85546875" style="140" customWidth="1"/>
    <col min="13831" max="13831" width="15.140625" style="140" customWidth="1"/>
    <col min="13832" max="13832" width="13.7109375" style="140" customWidth="1"/>
    <col min="13833" max="13833" width="17" style="140" customWidth="1"/>
    <col min="13834" max="13834" width="13.140625" style="140" bestFit="1" customWidth="1"/>
    <col min="13835" max="13835" width="7.85546875" style="140"/>
    <col min="13836" max="13836" width="14.28515625" style="140" bestFit="1" customWidth="1"/>
    <col min="13837" max="13837" width="16.42578125" style="140" bestFit="1" customWidth="1"/>
    <col min="13838" max="14080" width="7.85546875" style="140"/>
    <col min="14081" max="14081" width="29.28515625" style="140" customWidth="1"/>
    <col min="14082" max="14082" width="14.42578125" style="140" customWidth="1"/>
    <col min="14083" max="14083" width="16" style="140" customWidth="1"/>
    <col min="14084" max="14085" width="13.7109375" style="140" customWidth="1"/>
    <col min="14086" max="14086" width="16.85546875" style="140" customWidth="1"/>
    <col min="14087" max="14087" width="15.140625" style="140" customWidth="1"/>
    <col min="14088" max="14088" width="13.7109375" style="140" customWidth="1"/>
    <col min="14089" max="14089" width="17" style="140" customWidth="1"/>
    <col min="14090" max="14090" width="13.140625" style="140" bestFit="1" customWidth="1"/>
    <col min="14091" max="14091" width="7.85546875" style="140"/>
    <col min="14092" max="14092" width="14.28515625" style="140" bestFit="1" customWidth="1"/>
    <col min="14093" max="14093" width="16.42578125" style="140" bestFit="1" customWidth="1"/>
    <col min="14094" max="14336" width="7.85546875" style="140"/>
    <col min="14337" max="14337" width="29.28515625" style="140" customWidth="1"/>
    <col min="14338" max="14338" width="14.42578125" style="140" customWidth="1"/>
    <col min="14339" max="14339" width="16" style="140" customWidth="1"/>
    <col min="14340" max="14341" width="13.7109375" style="140" customWidth="1"/>
    <col min="14342" max="14342" width="16.85546875" style="140" customWidth="1"/>
    <col min="14343" max="14343" width="15.140625" style="140" customWidth="1"/>
    <col min="14344" max="14344" width="13.7109375" style="140" customWidth="1"/>
    <col min="14345" max="14345" width="17" style="140" customWidth="1"/>
    <col min="14346" max="14346" width="13.140625" style="140" bestFit="1" customWidth="1"/>
    <col min="14347" max="14347" width="7.85546875" style="140"/>
    <col min="14348" max="14348" width="14.28515625" style="140" bestFit="1" customWidth="1"/>
    <col min="14349" max="14349" width="16.42578125" style="140" bestFit="1" customWidth="1"/>
    <col min="14350" max="14592" width="7.85546875" style="140"/>
    <col min="14593" max="14593" width="29.28515625" style="140" customWidth="1"/>
    <col min="14594" max="14594" width="14.42578125" style="140" customWidth="1"/>
    <col min="14595" max="14595" width="16" style="140" customWidth="1"/>
    <col min="14596" max="14597" width="13.7109375" style="140" customWidth="1"/>
    <col min="14598" max="14598" width="16.85546875" style="140" customWidth="1"/>
    <col min="14599" max="14599" width="15.140625" style="140" customWidth="1"/>
    <col min="14600" max="14600" width="13.7109375" style="140" customWidth="1"/>
    <col min="14601" max="14601" width="17" style="140" customWidth="1"/>
    <col min="14602" max="14602" width="13.140625" style="140" bestFit="1" customWidth="1"/>
    <col min="14603" max="14603" width="7.85546875" style="140"/>
    <col min="14604" max="14604" width="14.28515625" style="140" bestFit="1" customWidth="1"/>
    <col min="14605" max="14605" width="16.42578125" style="140" bestFit="1" customWidth="1"/>
    <col min="14606" max="14848" width="7.85546875" style="140"/>
    <col min="14849" max="14849" width="29.28515625" style="140" customWidth="1"/>
    <col min="14850" max="14850" width="14.42578125" style="140" customWidth="1"/>
    <col min="14851" max="14851" width="16" style="140" customWidth="1"/>
    <col min="14852" max="14853" width="13.7109375" style="140" customWidth="1"/>
    <col min="14854" max="14854" width="16.85546875" style="140" customWidth="1"/>
    <col min="14855" max="14855" width="15.140625" style="140" customWidth="1"/>
    <col min="14856" max="14856" width="13.7109375" style="140" customWidth="1"/>
    <col min="14857" max="14857" width="17" style="140" customWidth="1"/>
    <col min="14858" max="14858" width="13.140625" style="140" bestFit="1" customWidth="1"/>
    <col min="14859" max="14859" width="7.85546875" style="140"/>
    <col min="14860" max="14860" width="14.28515625" style="140" bestFit="1" customWidth="1"/>
    <col min="14861" max="14861" width="16.42578125" style="140" bestFit="1" customWidth="1"/>
    <col min="14862" max="15104" width="7.85546875" style="140"/>
    <col min="15105" max="15105" width="29.28515625" style="140" customWidth="1"/>
    <col min="15106" max="15106" width="14.42578125" style="140" customWidth="1"/>
    <col min="15107" max="15107" width="16" style="140" customWidth="1"/>
    <col min="15108" max="15109" width="13.7109375" style="140" customWidth="1"/>
    <col min="15110" max="15110" width="16.85546875" style="140" customWidth="1"/>
    <col min="15111" max="15111" width="15.140625" style="140" customWidth="1"/>
    <col min="15112" max="15112" width="13.7109375" style="140" customWidth="1"/>
    <col min="15113" max="15113" width="17" style="140" customWidth="1"/>
    <col min="15114" max="15114" width="13.140625" style="140" bestFit="1" customWidth="1"/>
    <col min="15115" max="15115" width="7.85546875" style="140"/>
    <col min="15116" max="15116" width="14.28515625" style="140" bestFit="1" customWidth="1"/>
    <col min="15117" max="15117" width="16.42578125" style="140" bestFit="1" customWidth="1"/>
    <col min="15118" max="15360" width="7.85546875" style="140"/>
    <col min="15361" max="15361" width="29.28515625" style="140" customWidth="1"/>
    <col min="15362" max="15362" width="14.42578125" style="140" customWidth="1"/>
    <col min="15363" max="15363" width="16" style="140" customWidth="1"/>
    <col min="15364" max="15365" width="13.7109375" style="140" customWidth="1"/>
    <col min="15366" max="15366" width="16.85546875" style="140" customWidth="1"/>
    <col min="15367" max="15367" width="15.140625" style="140" customWidth="1"/>
    <col min="15368" max="15368" width="13.7109375" style="140" customWidth="1"/>
    <col min="15369" max="15369" width="17" style="140" customWidth="1"/>
    <col min="15370" max="15370" width="13.140625" style="140" bestFit="1" customWidth="1"/>
    <col min="15371" max="15371" width="7.85546875" style="140"/>
    <col min="15372" max="15372" width="14.28515625" style="140" bestFit="1" customWidth="1"/>
    <col min="15373" max="15373" width="16.42578125" style="140" bestFit="1" customWidth="1"/>
    <col min="15374" max="15616" width="7.85546875" style="140"/>
    <col min="15617" max="15617" width="29.28515625" style="140" customWidth="1"/>
    <col min="15618" max="15618" width="14.42578125" style="140" customWidth="1"/>
    <col min="15619" max="15619" width="16" style="140" customWidth="1"/>
    <col min="15620" max="15621" width="13.7109375" style="140" customWidth="1"/>
    <col min="15622" max="15622" width="16.85546875" style="140" customWidth="1"/>
    <col min="15623" max="15623" width="15.140625" style="140" customWidth="1"/>
    <col min="15624" max="15624" width="13.7109375" style="140" customWidth="1"/>
    <col min="15625" max="15625" width="17" style="140" customWidth="1"/>
    <col min="15626" max="15626" width="13.140625" style="140" bestFit="1" customWidth="1"/>
    <col min="15627" max="15627" width="7.85546875" style="140"/>
    <col min="15628" max="15628" width="14.28515625" style="140" bestFit="1" customWidth="1"/>
    <col min="15629" max="15629" width="16.42578125" style="140" bestFit="1" customWidth="1"/>
    <col min="15630" max="15872" width="7.85546875" style="140"/>
    <col min="15873" max="15873" width="29.28515625" style="140" customWidth="1"/>
    <col min="15874" max="15874" width="14.42578125" style="140" customWidth="1"/>
    <col min="15875" max="15875" width="16" style="140" customWidth="1"/>
    <col min="15876" max="15877" width="13.7109375" style="140" customWidth="1"/>
    <col min="15878" max="15878" width="16.85546875" style="140" customWidth="1"/>
    <col min="15879" max="15879" width="15.140625" style="140" customWidth="1"/>
    <col min="15880" max="15880" width="13.7109375" style="140" customWidth="1"/>
    <col min="15881" max="15881" width="17" style="140" customWidth="1"/>
    <col min="15882" max="15882" width="13.140625" style="140" bestFit="1" customWidth="1"/>
    <col min="15883" max="15883" width="7.85546875" style="140"/>
    <col min="15884" max="15884" width="14.28515625" style="140" bestFit="1" customWidth="1"/>
    <col min="15885" max="15885" width="16.42578125" style="140" bestFit="1" customWidth="1"/>
    <col min="15886" max="16128" width="7.85546875" style="140"/>
    <col min="16129" max="16129" width="29.28515625" style="140" customWidth="1"/>
    <col min="16130" max="16130" width="14.42578125" style="140" customWidth="1"/>
    <col min="16131" max="16131" width="16" style="140" customWidth="1"/>
    <col min="16132" max="16133" width="13.7109375" style="140" customWidth="1"/>
    <col min="16134" max="16134" width="16.85546875" style="140" customWidth="1"/>
    <col min="16135" max="16135" width="15.140625" style="140" customWidth="1"/>
    <col min="16136" max="16136" width="13.7109375" style="140" customWidth="1"/>
    <col min="16137" max="16137" width="17" style="140" customWidth="1"/>
    <col min="16138" max="16138" width="13.140625" style="140" bestFit="1" customWidth="1"/>
    <col min="16139" max="16139" width="7.85546875" style="140"/>
    <col min="16140" max="16140" width="14.28515625" style="140" bestFit="1" customWidth="1"/>
    <col min="16141" max="16141" width="16.42578125" style="140" bestFit="1" customWidth="1"/>
    <col min="16142" max="16384" width="7.85546875" style="140"/>
  </cols>
  <sheetData>
    <row r="1" spans="1:12" ht="27.75" customHeight="1" x14ac:dyDescent="0.2"/>
    <row r="2" spans="1:12" ht="25.5" customHeight="1" x14ac:dyDescent="0.2"/>
    <row r="3" spans="1:12" ht="15.75" customHeight="1" x14ac:dyDescent="0.25">
      <c r="A3" s="258" t="s">
        <v>165</v>
      </c>
      <c r="B3" s="258"/>
      <c r="C3" s="258"/>
      <c r="D3" s="258"/>
      <c r="E3" s="258"/>
      <c r="F3" s="258"/>
      <c r="G3" s="258"/>
      <c r="H3" s="258"/>
      <c r="I3" s="258"/>
    </row>
    <row r="4" spans="1:12" s="236" customFormat="1" ht="21.75" customHeight="1" x14ac:dyDescent="0.35">
      <c r="A4" s="239" t="s">
        <v>0</v>
      </c>
      <c r="B4" s="238"/>
      <c r="C4" s="237"/>
      <c r="D4" s="237"/>
      <c r="E4" s="237"/>
      <c r="F4" s="237"/>
      <c r="G4" s="237"/>
      <c r="H4" s="237"/>
      <c r="I4" s="237"/>
    </row>
    <row r="5" spans="1:12" s="141" customFormat="1" ht="15.75" x14ac:dyDescent="0.25">
      <c r="A5" s="235" t="s">
        <v>164</v>
      </c>
    </row>
    <row r="6" spans="1:12" s="233" customFormat="1" ht="25.5" customHeight="1" x14ac:dyDescent="0.2">
      <c r="A6" s="234" t="s">
        <v>3</v>
      </c>
      <c r="B6" s="234" t="s">
        <v>163</v>
      </c>
      <c r="C6" s="234" t="s">
        <v>162</v>
      </c>
      <c r="D6" s="234" t="s">
        <v>161</v>
      </c>
      <c r="E6" s="234" t="s">
        <v>160</v>
      </c>
      <c r="F6" s="234" t="s">
        <v>159</v>
      </c>
      <c r="G6" s="234" t="s">
        <v>158</v>
      </c>
      <c r="H6" s="234" t="s">
        <v>157</v>
      </c>
      <c r="I6" s="234" t="s">
        <v>156</v>
      </c>
      <c r="L6" s="233" t="s">
        <v>166</v>
      </c>
    </row>
    <row r="7" spans="1:12" customFormat="1" ht="17.25" customHeight="1" x14ac:dyDescent="0.25">
      <c r="A7" s="217" t="s">
        <v>154</v>
      </c>
      <c r="B7" s="240"/>
      <c r="C7" s="241"/>
      <c r="D7" s="214"/>
      <c r="E7" s="214"/>
      <c r="F7" s="214"/>
      <c r="G7" s="214"/>
      <c r="H7" s="214"/>
      <c r="I7" s="242"/>
      <c r="K7" s="228"/>
    </row>
    <row r="8" spans="1:12" customFormat="1" ht="12.95" customHeight="1" x14ac:dyDescent="0.25">
      <c r="A8" s="151" t="s">
        <v>99</v>
      </c>
      <c r="B8" s="158">
        <v>0.5</v>
      </c>
      <c r="C8" s="227">
        <v>23</v>
      </c>
      <c r="D8" s="225">
        <v>11</v>
      </c>
      <c r="E8" s="224">
        <v>0</v>
      </c>
      <c r="F8" s="204">
        <f t="shared" ref="F8:F17" si="0">(((C8*2*14)*B8)*1.7+((C8*10*4)*B8)*2)</f>
        <v>1467.4</v>
      </c>
      <c r="G8" s="223">
        <v>0</v>
      </c>
      <c r="H8" s="204">
        <f>C8*(220*2)*B8</f>
        <v>5060</v>
      </c>
      <c r="I8" s="222">
        <f>E8+F8+G8+H8</f>
        <v>6527.4</v>
      </c>
      <c r="L8">
        <f t="shared" ref="L8:L17" si="1">170*C8*B8</f>
        <v>1955</v>
      </c>
    </row>
    <row r="9" spans="1:12" customFormat="1" ht="12.95" customHeight="1" x14ac:dyDescent="0.25">
      <c r="A9" s="151" t="s">
        <v>66</v>
      </c>
      <c r="B9" s="158">
        <v>1</v>
      </c>
      <c r="C9" s="226">
        <v>32.5</v>
      </c>
      <c r="D9" s="225">
        <v>11</v>
      </c>
      <c r="E9" s="224">
        <v>0</v>
      </c>
      <c r="F9" s="204">
        <f t="shared" si="0"/>
        <v>4147</v>
      </c>
      <c r="G9" s="204">
        <v>0</v>
      </c>
      <c r="H9" s="204">
        <f>C9*(220)*B9</f>
        <v>7150</v>
      </c>
      <c r="I9" s="222">
        <f>E9+F9+G9+H9</f>
        <v>11297</v>
      </c>
      <c r="L9">
        <f t="shared" si="1"/>
        <v>5525</v>
      </c>
    </row>
    <row r="10" spans="1:12" customFormat="1" ht="12.95" customHeight="1" x14ac:dyDescent="0.25">
      <c r="A10" s="151" t="s">
        <v>67</v>
      </c>
      <c r="B10" s="148">
        <v>1</v>
      </c>
      <c r="C10" s="243">
        <v>19.239999999999998</v>
      </c>
      <c r="D10" s="244" t="s">
        <v>151</v>
      </c>
      <c r="E10" s="245">
        <v>0</v>
      </c>
      <c r="F10" s="245">
        <f t="shared" si="0"/>
        <v>2455.0239999999994</v>
      </c>
      <c r="G10" s="245">
        <v>0</v>
      </c>
      <c r="H10" s="245">
        <f>C10*(220)*B10</f>
        <v>4232.7999999999993</v>
      </c>
      <c r="I10" s="246">
        <f>E10+F10+G10+H10</f>
        <v>6687.8239999999987</v>
      </c>
      <c r="L10">
        <f t="shared" si="1"/>
        <v>3270.7999999999997</v>
      </c>
    </row>
    <row r="11" spans="1:12" customFormat="1" ht="12.95" customHeight="1" x14ac:dyDescent="0.25">
      <c r="A11" s="217" t="s">
        <v>153</v>
      </c>
      <c r="B11" s="216"/>
      <c r="C11" s="215"/>
      <c r="D11" s="247"/>
      <c r="E11" s="213"/>
      <c r="F11" s="213"/>
      <c r="G11" s="213"/>
      <c r="H11" s="213"/>
      <c r="I11" s="211"/>
    </row>
    <row r="12" spans="1:12" customFormat="1" ht="12.95" customHeight="1" x14ac:dyDescent="0.25">
      <c r="A12" s="149" t="s">
        <v>86</v>
      </c>
      <c r="B12" s="148">
        <v>2</v>
      </c>
      <c r="C12" s="208">
        <v>17.68</v>
      </c>
      <c r="D12" s="205" t="s">
        <v>151</v>
      </c>
      <c r="E12" s="204">
        <v>0</v>
      </c>
      <c r="F12" s="204">
        <f t="shared" si="0"/>
        <v>4511.9359999999997</v>
      </c>
      <c r="G12" s="204">
        <f>((C12*8*18)*0.4)*B12/2</f>
        <v>1018.3680000000001</v>
      </c>
      <c r="H12" s="204">
        <f t="shared" ref="H12:H17" si="2">C12*(220)*B12</f>
        <v>7779.2</v>
      </c>
      <c r="I12" s="203">
        <f t="shared" ref="I12:I17" si="3">E12+F12+G12+H12</f>
        <v>13309.504000000001</v>
      </c>
      <c r="L12">
        <f t="shared" si="1"/>
        <v>6011.2</v>
      </c>
    </row>
    <row r="13" spans="1:12" customFormat="1" ht="12.95" customHeight="1" x14ac:dyDescent="0.25">
      <c r="A13" s="151" t="s">
        <v>68</v>
      </c>
      <c r="B13" s="150">
        <v>10</v>
      </c>
      <c r="C13" s="207">
        <v>10.39</v>
      </c>
      <c r="D13" s="205" t="s">
        <v>151</v>
      </c>
      <c r="E13" s="204">
        <v>0</v>
      </c>
      <c r="F13" s="204">
        <f t="shared" si="0"/>
        <v>13257.64</v>
      </c>
      <c r="G13" s="204">
        <f t="shared" ref="G13:G17" si="4">((C13*8*18)*0.4)*B13/2</f>
        <v>2992.32</v>
      </c>
      <c r="H13" s="204">
        <f t="shared" si="2"/>
        <v>22858</v>
      </c>
      <c r="I13" s="203">
        <f t="shared" si="3"/>
        <v>39107.96</v>
      </c>
      <c r="L13">
        <f t="shared" si="1"/>
        <v>17663</v>
      </c>
    </row>
    <row r="14" spans="1:12" customFormat="1" ht="12.95" customHeight="1" x14ac:dyDescent="0.25">
      <c r="A14" s="151" t="s">
        <v>69</v>
      </c>
      <c r="B14" s="150">
        <v>2</v>
      </c>
      <c r="C14" s="206">
        <v>9.4600000000000009</v>
      </c>
      <c r="D14" s="205" t="s">
        <v>151</v>
      </c>
      <c r="E14" s="204">
        <v>0</v>
      </c>
      <c r="F14" s="204">
        <f t="shared" si="0"/>
        <v>2414.192</v>
      </c>
      <c r="G14" s="204">
        <f t="shared" si="4"/>
        <v>544.89600000000007</v>
      </c>
      <c r="H14" s="204">
        <f t="shared" si="2"/>
        <v>4162.4000000000005</v>
      </c>
      <c r="I14" s="203">
        <f t="shared" si="3"/>
        <v>7121.4880000000012</v>
      </c>
      <c r="L14">
        <f t="shared" si="1"/>
        <v>3216.4</v>
      </c>
    </row>
    <row r="15" spans="1:12" customFormat="1" ht="12.95" customHeight="1" x14ac:dyDescent="0.25">
      <c r="A15" s="151" t="s">
        <v>70</v>
      </c>
      <c r="B15" s="150">
        <v>14</v>
      </c>
      <c r="C15" s="206">
        <v>5.7</v>
      </c>
      <c r="D15" s="205" t="s">
        <v>151</v>
      </c>
      <c r="E15" s="204">
        <v>0</v>
      </c>
      <c r="F15" s="204">
        <f t="shared" si="0"/>
        <v>10182.48</v>
      </c>
      <c r="G15" s="204">
        <f t="shared" si="4"/>
        <v>2298.2400000000002</v>
      </c>
      <c r="H15" s="204">
        <f t="shared" si="2"/>
        <v>17556</v>
      </c>
      <c r="I15" s="203">
        <f t="shared" si="3"/>
        <v>30036.720000000001</v>
      </c>
      <c r="L15">
        <f t="shared" si="1"/>
        <v>13566</v>
      </c>
    </row>
    <row r="16" spans="1:12" customFormat="1" ht="12.95" customHeight="1" x14ac:dyDescent="0.25">
      <c r="A16" s="151" t="s">
        <v>108</v>
      </c>
      <c r="B16" s="150">
        <v>1</v>
      </c>
      <c r="C16" s="206">
        <v>8.4600000000000009</v>
      </c>
      <c r="D16" s="205" t="s">
        <v>152</v>
      </c>
      <c r="E16" s="204">
        <v>-1</v>
      </c>
      <c r="F16" s="204">
        <f t="shared" si="0"/>
        <v>1079.4960000000001</v>
      </c>
      <c r="G16" s="204">
        <f t="shared" si="4"/>
        <v>243.64800000000005</v>
      </c>
      <c r="H16" s="204">
        <f t="shared" si="2"/>
        <v>1861.2000000000003</v>
      </c>
      <c r="I16" s="203">
        <f t="shared" si="3"/>
        <v>3183.3440000000005</v>
      </c>
      <c r="L16">
        <f t="shared" si="1"/>
        <v>1438.2</v>
      </c>
    </row>
    <row r="17" spans="1:13" customFormat="1" ht="12.95" customHeight="1" x14ac:dyDescent="0.25">
      <c r="A17" s="151" t="s">
        <v>71</v>
      </c>
      <c r="B17" s="150">
        <v>2</v>
      </c>
      <c r="C17" s="206">
        <v>9.4600000000000009</v>
      </c>
      <c r="D17" s="205" t="s">
        <v>151</v>
      </c>
      <c r="E17" s="204">
        <v>0</v>
      </c>
      <c r="F17" s="204">
        <f t="shared" si="0"/>
        <v>2414.192</v>
      </c>
      <c r="G17" s="204">
        <f t="shared" si="4"/>
        <v>544.89600000000007</v>
      </c>
      <c r="H17" s="204">
        <f t="shared" si="2"/>
        <v>4162.4000000000005</v>
      </c>
      <c r="I17" s="203">
        <f t="shared" si="3"/>
        <v>7121.4880000000012</v>
      </c>
      <c r="L17">
        <f t="shared" si="1"/>
        <v>3216.4</v>
      </c>
    </row>
    <row r="18" spans="1:13" customFormat="1" ht="14.1" customHeight="1" x14ac:dyDescent="0.25">
      <c r="A18" s="201" t="s">
        <v>150</v>
      </c>
      <c r="B18" s="200"/>
      <c r="C18" s="199"/>
      <c r="D18" s="198"/>
      <c r="E18" s="198"/>
      <c r="F18" s="198"/>
      <c r="G18" s="198"/>
      <c r="H18" s="198"/>
      <c r="I18" s="197"/>
    </row>
    <row r="19" spans="1:13" s="141" customFormat="1" ht="12.75" x14ac:dyDescent="0.2">
      <c r="A19" s="196"/>
      <c r="B19" s="161"/>
      <c r="C19" s="161"/>
      <c r="D19" s="195"/>
      <c r="E19" s="195"/>
      <c r="F19" s="195"/>
      <c r="G19" s="195"/>
      <c r="H19" s="195"/>
      <c r="I19" s="195"/>
      <c r="L19" s="194">
        <f>SUM(L8:L17)</f>
        <v>55862</v>
      </c>
    </row>
    <row r="20" spans="1:13" s="141" customFormat="1" ht="14.25" customHeight="1" x14ac:dyDescent="0.2">
      <c r="C20" s="259" t="s">
        <v>149</v>
      </c>
      <c r="D20" s="260"/>
      <c r="E20" s="260"/>
      <c r="F20" s="260"/>
      <c r="G20" s="260"/>
      <c r="H20" s="261">
        <f>SUM(I8:I17)</f>
        <v>124392.72799999999</v>
      </c>
      <c r="I20" s="262"/>
    </row>
    <row r="21" spans="1:13" s="141" customFormat="1" ht="17.25" customHeight="1" x14ac:dyDescent="0.25">
      <c r="A21" s="193" t="s">
        <v>148</v>
      </c>
    </row>
    <row r="22" spans="1:13" s="141" customFormat="1" ht="13.5" customHeight="1" x14ac:dyDescent="0.2">
      <c r="A22" s="192" t="s">
        <v>147</v>
      </c>
      <c r="B22" s="191" t="s">
        <v>146</v>
      </c>
      <c r="C22" s="190" t="s">
        <v>145</v>
      </c>
      <c r="D22" s="165"/>
      <c r="E22" s="165"/>
      <c r="F22" s="165"/>
      <c r="G22" s="165"/>
      <c r="H22" s="165"/>
      <c r="I22" s="161"/>
    </row>
    <row r="23" spans="1:13" s="141" customFormat="1" ht="15.75" hidden="1" customHeight="1" x14ac:dyDescent="0.2">
      <c r="A23" s="189" t="s">
        <v>144</v>
      </c>
      <c r="B23" s="188"/>
      <c r="C23" s="187"/>
      <c r="D23" s="170"/>
      <c r="E23" s="170"/>
      <c r="F23" s="170"/>
      <c r="G23" s="170"/>
      <c r="H23" s="263"/>
      <c r="I23" s="263"/>
    </row>
    <row r="24" spans="1:13" s="141" customFormat="1" ht="15.75" hidden="1" x14ac:dyDescent="0.25">
      <c r="A24" s="176" t="s">
        <v>143</v>
      </c>
      <c r="B24" s="181">
        <v>0.2</v>
      </c>
      <c r="C24" s="174">
        <f>H20*B24</f>
        <v>24878.545599999998</v>
      </c>
      <c r="D24" s="170"/>
      <c r="E24" s="170"/>
      <c r="F24" s="170"/>
      <c r="G24" s="170"/>
      <c r="H24" s="170"/>
      <c r="I24" s="161"/>
      <c r="M24" s="186">
        <v>762000</v>
      </c>
    </row>
    <row r="25" spans="1:13" s="141" customFormat="1" ht="12.75" hidden="1" x14ac:dyDescent="0.2">
      <c r="A25" s="176" t="s">
        <v>142</v>
      </c>
      <c r="B25" s="181">
        <v>8.5000000000000006E-2</v>
      </c>
      <c r="C25" s="174">
        <f>H20*B25</f>
        <v>10573.381879999999</v>
      </c>
      <c r="D25" s="185"/>
      <c r="E25" s="185"/>
      <c r="F25" s="185"/>
      <c r="G25" s="185"/>
      <c r="H25" s="170"/>
      <c r="I25" s="161"/>
    </row>
    <row r="26" spans="1:13" s="141" customFormat="1" ht="7.5" hidden="1" customHeight="1" x14ac:dyDescent="0.2">
      <c r="A26" s="176"/>
      <c r="B26" s="181"/>
      <c r="C26" s="184"/>
      <c r="D26" s="170"/>
      <c r="E26" s="170"/>
      <c r="F26" s="170"/>
      <c r="G26" s="170"/>
      <c r="H26" s="170"/>
      <c r="I26" s="161"/>
    </row>
    <row r="27" spans="1:13" s="141" customFormat="1" ht="15.75" hidden="1" customHeight="1" x14ac:dyDescent="0.2">
      <c r="A27" s="179" t="s">
        <v>141</v>
      </c>
      <c r="B27" s="180"/>
      <c r="C27" s="183"/>
      <c r="D27" s="170"/>
      <c r="E27" s="170"/>
      <c r="F27" s="170"/>
      <c r="G27" s="170"/>
      <c r="H27" s="170"/>
      <c r="I27" s="161"/>
    </row>
    <row r="28" spans="1:13" s="141" customFormat="1" ht="12.95" hidden="1" customHeight="1" x14ac:dyDescent="0.2">
      <c r="A28" s="176" t="s">
        <v>140</v>
      </c>
      <c r="B28" s="181">
        <v>0.1091</v>
      </c>
      <c r="C28" s="174">
        <f>H20*B28</f>
        <v>13571.246624799998</v>
      </c>
      <c r="D28" s="170"/>
      <c r="E28" s="170"/>
      <c r="F28" s="170"/>
      <c r="G28" s="170"/>
      <c r="H28" s="170"/>
    </row>
    <row r="29" spans="1:13" s="141" customFormat="1" ht="12.75" hidden="1" x14ac:dyDescent="0.2">
      <c r="A29" s="176" t="s">
        <v>139</v>
      </c>
      <c r="B29" s="181">
        <v>9.4500000000000001E-2</v>
      </c>
      <c r="C29" s="174">
        <f>H20*B29</f>
        <v>11755.112795999999</v>
      </c>
      <c r="D29" s="170"/>
      <c r="E29" s="170"/>
      <c r="F29" s="170"/>
      <c r="G29" s="170"/>
      <c r="H29" s="170"/>
    </row>
    <row r="30" spans="1:13" s="141" customFormat="1" ht="12.75" hidden="1" x14ac:dyDescent="0.2">
      <c r="A30" s="176" t="s">
        <v>138</v>
      </c>
      <c r="B30" s="182">
        <v>5.4999999999999997E-3</v>
      </c>
      <c r="C30" s="174">
        <f>H20*B30</f>
        <v>684.16000399999984</v>
      </c>
      <c r="D30" s="170"/>
      <c r="E30" s="170"/>
      <c r="F30" s="170"/>
      <c r="G30" s="170"/>
      <c r="H30" s="170"/>
    </row>
    <row r="31" spans="1:13" s="141" customFormat="1" ht="12.75" hidden="1" x14ac:dyDescent="0.2">
      <c r="A31" s="176" t="s">
        <v>137</v>
      </c>
      <c r="B31" s="181">
        <v>0</v>
      </c>
      <c r="C31" s="174">
        <f>H20*B31</f>
        <v>0</v>
      </c>
      <c r="D31" s="170"/>
      <c r="E31" s="170"/>
      <c r="F31" s="170"/>
      <c r="G31" s="170"/>
      <c r="H31" s="170"/>
    </row>
    <row r="32" spans="1:13" s="141" customFormat="1" ht="4.5" hidden="1" customHeight="1" x14ac:dyDescent="0.2">
      <c r="A32" s="176"/>
      <c r="B32" s="181"/>
      <c r="C32" s="174"/>
      <c r="D32" s="170"/>
      <c r="E32" s="170"/>
      <c r="F32" s="170"/>
      <c r="G32" s="170"/>
      <c r="H32" s="170"/>
    </row>
    <row r="33" spans="1:12" s="141" customFormat="1" ht="15.75" hidden="1" customHeight="1" x14ac:dyDescent="0.2">
      <c r="A33" s="179" t="s">
        <v>136</v>
      </c>
      <c r="B33" s="180"/>
      <c r="C33" s="177"/>
      <c r="D33" s="170"/>
      <c r="E33" s="170"/>
      <c r="F33" s="170"/>
      <c r="G33" s="170"/>
      <c r="H33" s="170"/>
    </row>
    <row r="34" spans="1:12" s="141" customFormat="1" ht="6" hidden="1" customHeight="1" x14ac:dyDescent="0.2">
      <c r="A34" s="179"/>
      <c r="B34" s="180"/>
      <c r="C34" s="177"/>
      <c r="D34" s="170"/>
      <c r="E34" s="170"/>
      <c r="F34" s="170"/>
      <c r="G34" s="170"/>
      <c r="H34" s="170"/>
    </row>
    <row r="35" spans="1:12" s="141" customFormat="1" ht="12.95" hidden="1" customHeight="1" x14ac:dyDescent="0.2">
      <c r="A35" s="176" t="s">
        <v>135</v>
      </c>
      <c r="B35" s="181">
        <v>7.9299999999999995E-2</v>
      </c>
      <c r="C35" s="174">
        <f>H20*B35</f>
        <v>9864.3433303999991</v>
      </c>
      <c r="D35" s="170"/>
      <c r="E35" s="170"/>
      <c r="F35" s="170"/>
      <c r="G35" s="170"/>
      <c r="H35" s="170"/>
    </row>
    <row r="36" spans="1:12" s="141" customFormat="1" ht="6" hidden="1" customHeight="1" x14ac:dyDescent="0.2">
      <c r="A36" s="176"/>
      <c r="B36" s="181"/>
      <c r="C36" s="174"/>
      <c r="D36" s="170"/>
      <c r="E36" s="170"/>
      <c r="F36" s="170"/>
      <c r="G36" s="170"/>
      <c r="H36" s="170"/>
    </row>
    <row r="37" spans="1:12" s="141" customFormat="1" ht="15.75" hidden="1" customHeight="1" x14ac:dyDescent="0.2">
      <c r="A37" s="179" t="s">
        <v>134</v>
      </c>
      <c r="B37" s="180"/>
      <c r="C37" s="177"/>
      <c r="D37" s="170"/>
      <c r="E37" s="170"/>
      <c r="F37" s="170"/>
      <c r="G37" s="170"/>
      <c r="H37" s="170"/>
    </row>
    <row r="38" spans="1:12" s="141" customFormat="1" ht="8.25" hidden="1" customHeight="1" x14ac:dyDescent="0.2">
      <c r="A38" s="179"/>
      <c r="B38" s="178"/>
      <c r="C38" s="177"/>
      <c r="D38" s="170"/>
      <c r="E38" s="170"/>
      <c r="F38" s="170"/>
      <c r="G38" s="170"/>
      <c r="H38" s="170"/>
    </row>
    <row r="39" spans="1:12" s="141" customFormat="1" ht="12.95" hidden="1" customHeight="1" x14ac:dyDescent="0.2">
      <c r="A39" s="176" t="s">
        <v>133</v>
      </c>
      <c r="B39" s="175" t="s">
        <v>132</v>
      </c>
      <c r="C39" s="174">
        <f>50/100*C25</f>
        <v>5286.6909399999995</v>
      </c>
      <c r="D39" s="170"/>
      <c r="E39" s="170"/>
      <c r="F39" s="170"/>
      <c r="G39" s="170"/>
      <c r="H39" s="170"/>
    </row>
    <row r="40" spans="1:12" s="141" customFormat="1" ht="12.75" hidden="1" x14ac:dyDescent="0.2">
      <c r="A40" s="173"/>
      <c r="B40" s="172"/>
      <c r="C40" s="171"/>
      <c r="D40" s="170"/>
      <c r="E40" s="170"/>
      <c r="F40" s="170"/>
      <c r="G40" s="170"/>
      <c r="H40" s="170"/>
    </row>
    <row r="41" spans="1:12" s="141" customFormat="1" ht="14.25" customHeight="1" x14ac:dyDescent="0.2">
      <c r="A41" s="259" t="s">
        <v>131</v>
      </c>
      <c r="B41" s="264"/>
      <c r="C41" s="169">
        <f>SUM(C24:C40)</f>
        <v>76613.481175199995</v>
      </c>
      <c r="D41" s="168"/>
      <c r="E41" s="167"/>
      <c r="F41" s="167"/>
      <c r="G41" s="167"/>
      <c r="H41" s="166"/>
    </row>
    <row r="42" spans="1:12" s="141" customFormat="1" ht="7.5" customHeight="1" x14ac:dyDescent="0.2">
      <c r="B42" s="165"/>
    </row>
    <row r="43" spans="1:12" s="141" customFormat="1" ht="14.25" customHeight="1" x14ac:dyDescent="0.2">
      <c r="A43" s="164"/>
      <c r="C43" s="265" t="s">
        <v>130</v>
      </c>
      <c r="D43" s="265"/>
      <c r="E43" s="265"/>
      <c r="F43" s="265"/>
      <c r="G43" s="265"/>
      <c r="H43" s="261">
        <f>C41+H20</f>
        <v>201006.20917519997</v>
      </c>
      <c r="I43" s="262"/>
    </row>
    <row r="44" spans="1:12" s="141" customFormat="1" ht="15.75" customHeight="1" x14ac:dyDescent="0.2">
      <c r="F44" s="255"/>
      <c r="G44" s="256"/>
      <c r="H44" s="257"/>
      <c r="I44" s="257"/>
      <c r="J44" s="162"/>
      <c r="L44" s="248"/>
    </row>
    <row r="45" spans="1:12" s="141" customFormat="1" x14ac:dyDescent="0.2">
      <c r="A45" s="154"/>
      <c r="B45" s="153" t="s">
        <v>128</v>
      </c>
      <c r="C45" s="153" t="s">
        <v>127</v>
      </c>
      <c r="D45" s="146" t="s">
        <v>129</v>
      </c>
      <c r="E45" s="146" t="s">
        <v>126</v>
      </c>
      <c r="F45" s="146" t="s">
        <v>125</v>
      </c>
      <c r="G45" s="146" t="s">
        <v>124</v>
      </c>
      <c r="H45" s="257"/>
      <c r="I45" s="257"/>
      <c r="J45" s="162"/>
      <c r="L45" s="159"/>
    </row>
    <row r="46" spans="1:12" s="141" customFormat="1" ht="23.25" customHeight="1" x14ac:dyDescent="0.2">
      <c r="A46" s="151" t="s">
        <v>100</v>
      </c>
      <c r="B46" s="158">
        <v>0.5</v>
      </c>
      <c r="C46" s="147">
        <f>20+5</f>
        <v>25</v>
      </c>
      <c r="D46" s="146">
        <v>5.4</v>
      </c>
      <c r="E46" s="146">
        <v>12.96</v>
      </c>
      <c r="F46" s="145">
        <v>10</v>
      </c>
      <c r="G46" s="144">
        <f>(B46*C46*(D46+E46+F46))+(33*(D46+E46))</f>
        <v>960.38</v>
      </c>
      <c r="H46" s="161"/>
      <c r="I46" s="161"/>
      <c r="J46" s="161"/>
      <c r="K46" s="161"/>
      <c r="L46" s="160"/>
    </row>
    <row r="47" spans="1:12" s="141" customFormat="1" ht="16.5" customHeight="1" x14ac:dyDescent="0.2">
      <c r="A47" s="151" t="s">
        <v>99</v>
      </c>
      <c r="B47" s="158">
        <v>0.5</v>
      </c>
      <c r="C47" s="147">
        <f>20+5+45</f>
        <v>70</v>
      </c>
      <c r="D47" s="146">
        <v>5.4</v>
      </c>
      <c r="E47" s="146">
        <v>12.96</v>
      </c>
      <c r="F47" s="145">
        <v>10</v>
      </c>
      <c r="G47" s="144">
        <f>(B47*C47*(D47+E47+F47))+(33*(D47+E47))</f>
        <v>1598.48</v>
      </c>
      <c r="L47" s="159"/>
    </row>
    <row r="48" spans="1:12" s="141" customFormat="1" ht="17.25" customHeight="1" x14ac:dyDescent="0.2">
      <c r="A48" s="151" t="s">
        <v>66</v>
      </c>
      <c r="B48" s="158">
        <v>0.5</v>
      </c>
      <c r="C48" s="147">
        <f>20+5</f>
        <v>25</v>
      </c>
      <c r="D48" s="146">
        <v>5.4</v>
      </c>
      <c r="E48" s="146">
        <v>12.96</v>
      </c>
      <c r="F48" s="145">
        <v>10</v>
      </c>
      <c r="G48" s="144">
        <f t="shared" ref="G48:G54" si="5">(B48*C48*(D48+E48+F48))</f>
        <v>354.5</v>
      </c>
      <c r="H48" s="159"/>
    </row>
    <row r="49" spans="1:8" s="141" customFormat="1" ht="12.75" x14ac:dyDescent="0.2">
      <c r="A49" s="151" t="s">
        <v>68</v>
      </c>
      <c r="B49" s="150">
        <v>5</v>
      </c>
      <c r="C49" s="147">
        <f t="shared" ref="C49:C54" si="6">20+5</f>
        <v>25</v>
      </c>
      <c r="D49" s="146">
        <v>5.4</v>
      </c>
      <c r="E49" s="146">
        <v>12.96</v>
      </c>
      <c r="F49" s="145">
        <v>10</v>
      </c>
      <c r="G49" s="144">
        <f t="shared" si="5"/>
        <v>3545</v>
      </c>
      <c r="H49" s="159"/>
    </row>
    <row r="50" spans="1:8" s="141" customFormat="1" ht="16.5" customHeight="1" x14ac:dyDescent="0.2">
      <c r="A50" s="151" t="s">
        <v>69</v>
      </c>
      <c r="B50" s="150">
        <v>1</v>
      </c>
      <c r="C50" s="147">
        <f t="shared" si="6"/>
        <v>25</v>
      </c>
      <c r="D50" s="146">
        <v>5.4</v>
      </c>
      <c r="E50" s="146">
        <v>12.96</v>
      </c>
      <c r="F50" s="145">
        <v>10</v>
      </c>
      <c r="G50" s="144">
        <f t="shared" si="5"/>
        <v>709</v>
      </c>
      <c r="H50" s="159"/>
    </row>
    <row r="51" spans="1:8" s="141" customFormat="1" ht="12.75" x14ac:dyDescent="0.2">
      <c r="A51" s="151" t="s">
        <v>70</v>
      </c>
      <c r="B51" s="150">
        <v>7</v>
      </c>
      <c r="C51" s="147">
        <f t="shared" si="6"/>
        <v>25</v>
      </c>
      <c r="D51" s="146">
        <v>5.4</v>
      </c>
      <c r="E51" s="146">
        <v>12.96</v>
      </c>
      <c r="F51" s="145">
        <v>10</v>
      </c>
      <c r="G51" s="144">
        <f t="shared" si="5"/>
        <v>4963</v>
      </c>
      <c r="H51" s="159"/>
    </row>
    <row r="52" spans="1:8" s="141" customFormat="1" ht="12.75" x14ac:dyDescent="0.2">
      <c r="A52" s="151" t="s">
        <v>108</v>
      </c>
      <c r="B52" s="150">
        <v>1</v>
      </c>
      <c r="C52" s="147">
        <f t="shared" si="6"/>
        <v>25</v>
      </c>
      <c r="D52" s="146">
        <v>5.4</v>
      </c>
      <c r="E52" s="146">
        <v>12.96</v>
      </c>
      <c r="F52" s="145">
        <v>10</v>
      </c>
      <c r="G52" s="144">
        <f t="shared" si="5"/>
        <v>709</v>
      </c>
      <c r="H52" s="159"/>
    </row>
    <row r="53" spans="1:8" s="141" customFormat="1" ht="12.75" x14ac:dyDescent="0.2">
      <c r="A53" s="151" t="s">
        <v>71</v>
      </c>
      <c r="B53" s="150">
        <v>1</v>
      </c>
      <c r="C53" s="147">
        <f t="shared" si="6"/>
        <v>25</v>
      </c>
      <c r="D53" s="146">
        <v>5.4</v>
      </c>
      <c r="E53" s="146">
        <v>12.96</v>
      </c>
      <c r="F53" s="145">
        <v>10</v>
      </c>
      <c r="G53" s="144">
        <f t="shared" si="5"/>
        <v>709</v>
      </c>
      <c r="H53" s="159"/>
    </row>
    <row r="54" spans="1:8" s="141" customFormat="1" ht="12.75" x14ac:dyDescent="0.2">
      <c r="A54" s="149" t="s">
        <v>86</v>
      </c>
      <c r="B54" s="148">
        <v>1</v>
      </c>
      <c r="C54" s="147">
        <f t="shared" si="6"/>
        <v>25</v>
      </c>
      <c r="D54" s="146">
        <v>5.4</v>
      </c>
      <c r="E54" s="146">
        <v>12.96</v>
      </c>
      <c r="F54" s="145">
        <v>10</v>
      </c>
      <c r="G54" s="144">
        <f t="shared" si="5"/>
        <v>709</v>
      </c>
      <c r="H54" s="159"/>
    </row>
    <row r="55" spans="1:8" s="141" customFormat="1" x14ac:dyDescent="0.2">
      <c r="A55" s="157"/>
      <c r="B55" s="156"/>
      <c r="C55" s="155"/>
      <c r="G55" s="143">
        <f>SUM(G46:G54)</f>
        <v>14257.36</v>
      </c>
      <c r="H55" s="159"/>
    </row>
    <row r="56" spans="1:8" s="141" customFormat="1" ht="12.75" x14ac:dyDescent="0.2">
      <c r="H56" s="159"/>
    </row>
    <row r="57" spans="1:8" s="141" customFormat="1" ht="21.75" customHeight="1" x14ac:dyDescent="0.2">
      <c r="A57" s="154"/>
      <c r="B57" s="153" t="s">
        <v>128</v>
      </c>
      <c r="C57" s="153" t="s">
        <v>127</v>
      </c>
      <c r="D57" s="146" t="s">
        <v>125</v>
      </c>
      <c r="E57" s="146" t="s">
        <v>126</v>
      </c>
      <c r="F57" s="146" t="s">
        <v>125</v>
      </c>
      <c r="G57" s="146" t="s">
        <v>124</v>
      </c>
      <c r="H57" s="159"/>
    </row>
    <row r="58" spans="1:8" s="141" customFormat="1" ht="12.75" x14ac:dyDescent="0.2">
      <c r="A58" s="151" t="s">
        <v>67</v>
      </c>
      <c r="B58" s="148">
        <v>1</v>
      </c>
      <c r="C58" s="147">
        <f t="shared" ref="C58:C63" si="7">20+5</f>
        <v>25</v>
      </c>
      <c r="D58" s="145">
        <v>10</v>
      </c>
      <c r="E58" s="146">
        <v>12.96</v>
      </c>
      <c r="F58" s="145">
        <v>10</v>
      </c>
      <c r="G58" s="144">
        <f t="shared" ref="G58:G63" si="8">(B58*C58*(D58+E58+F58))</f>
        <v>824</v>
      </c>
      <c r="H58" s="159"/>
    </row>
    <row r="59" spans="1:8" s="141" customFormat="1" ht="12.75" x14ac:dyDescent="0.2">
      <c r="A59" s="151" t="s">
        <v>68</v>
      </c>
      <c r="B59" s="150">
        <v>5</v>
      </c>
      <c r="C59" s="147">
        <f t="shared" si="7"/>
        <v>25</v>
      </c>
      <c r="D59" s="145">
        <v>10</v>
      </c>
      <c r="E59" s="146">
        <v>12.96</v>
      </c>
      <c r="F59" s="145">
        <v>10</v>
      </c>
      <c r="G59" s="144">
        <f t="shared" si="8"/>
        <v>4120</v>
      </c>
      <c r="H59" s="159"/>
    </row>
    <row r="60" spans="1:8" s="141" customFormat="1" ht="16.5" customHeight="1" x14ac:dyDescent="0.2">
      <c r="A60" s="151" t="s">
        <v>69</v>
      </c>
      <c r="B60" s="150">
        <v>1</v>
      </c>
      <c r="C60" s="147">
        <f t="shared" si="7"/>
        <v>25</v>
      </c>
      <c r="D60" s="145">
        <v>10</v>
      </c>
      <c r="E60" s="146">
        <v>12.96</v>
      </c>
      <c r="F60" s="145">
        <v>10</v>
      </c>
      <c r="G60" s="144">
        <f t="shared" si="8"/>
        <v>824</v>
      </c>
      <c r="H60" s="159"/>
    </row>
    <row r="61" spans="1:8" s="141" customFormat="1" ht="12.75" x14ac:dyDescent="0.2">
      <c r="A61" s="151" t="s">
        <v>70</v>
      </c>
      <c r="B61" s="150">
        <v>7</v>
      </c>
      <c r="C61" s="147">
        <f t="shared" si="7"/>
        <v>25</v>
      </c>
      <c r="D61" s="145">
        <v>10</v>
      </c>
      <c r="E61" s="146">
        <v>12.96</v>
      </c>
      <c r="F61" s="145">
        <v>10</v>
      </c>
      <c r="G61" s="144">
        <f t="shared" si="8"/>
        <v>5768</v>
      </c>
      <c r="H61" s="159"/>
    </row>
    <row r="62" spans="1:8" s="141" customFormat="1" ht="12.75" x14ac:dyDescent="0.2">
      <c r="A62" s="151" t="s">
        <v>71</v>
      </c>
      <c r="B62" s="150">
        <v>1</v>
      </c>
      <c r="C62" s="147">
        <f t="shared" si="7"/>
        <v>25</v>
      </c>
      <c r="D62" s="145">
        <v>10</v>
      </c>
      <c r="E62" s="146">
        <v>12.96</v>
      </c>
      <c r="F62" s="145">
        <v>10</v>
      </c>
      <c r="G62" s="144">
        <f t="shared" si="8"/>
        <v>824</v>
      </c>
      <c r="H62" s="159"/>
    </row>
    <row r="63" spans="1:8" s="141" customFormat="1" ht="12.75" x14ac:dyDescent="0.2">
      <c r="A63" s="149" t="s">
        <v>86</v>
      </c>
      <c r="B63" s="148">
        <v>1</v>
      </c>
      <c r="C63" s="147">
        <f t="shared" si="7"/>
        <v>25</v>
      </c>
      <c r="D63" s="145">
        <v>10</v>
      </c>
      <c r="E63" s="146">
        <v>12.96</v>
      </c>
      <c r="F63" s="145">
        <v>10</v>
      </c>
      <c r="G63" s="144">
        <f t="shared" si="8"/>
        <v>824</v>
      </c>
      <c r="H63" s="159"/>
    </row>
    <row r="64" spans="1:8" s="141" customFormat="1" ht="12.75" x14ac:dyDescent="0.2">
      <c r="G64" s="143">
        <f>SUM(G58:G63)</f>
        <v>13184</v>
      </c>
      <c r="H64" s="159"/>
    </row>
    <row r="65" spans="7:7" s="141" customFormat="1" ht="12.75" x14ac:dyDescent="0.2">
      <c r="G65" s="142">
        <f>G55+G64</f>
        <v>27441.360000000001</v>
      </c>
    </row>
    <row r="66" spans="7:7" s="141" customFormat="1" ht="12.75" x14ac:dyDescent="0.2"/>
    <row r="67" spans="7:7" s="141" customFormat="1" ht="12.75" x14ac:dyDescent="0.2"/>
    <row r="68" spans="7:7" s="141" customFormat="1" ht="12.75" x14ac:dyDescent="0.2"/>
    <row r="69" spans="7:7" s="141" customFormat="1" ht="12.75" x14ac:dyDescent="0.2"/>
    <row r="70" spans="7:7" s="141" customFormat="1" ht="12.75" x14ac:dyDescent="0.2"/>
    <row r="71" spans="7:7" s="141" customFormat="1" ht="12.75" x14ac:dyDescent="0.2"/>
    <row r="72" spans="7:7" s="141" customFormat="1" ht="12.75" x14ac:dyDescent="0.2"/>
    <row r="73" spans="7:7" s="141" customFormat="1" ht="12.75" x14ac:dyDescent="0.2"/>
    <row r="74" spans="7:7" s="141" customFormat="1" ht="12.75" x14ac:dyDescent="0.2"/>
    <row r="75" spans="7:7" s="141" customFormat="1" ht="12.75" x14ac:dyDescent="0.2"/>
    <row r="76" spans="7:7" s="141" customFormat="1" ht="12.75" x14ac:dyDescent="0.2"/>
    <row r="77" spans="7:7" s="141" customFormat="1" ht="12.75" x14ac:dyDescent="0.2"/>
    <row r="78" spans="7:7" s="141" customFormat="1" ht="12.75" x14ac:dyDescent="0.2"/>
    <row r="79" spans="7:7" s="141" customFormat="1" ht="12.75" x14ac:dyDescent="0.2"/>
  </sheetData>
  <mergeCells count="10">
    <mergeCell ref="F44:G44"/>
    <mergeCell ref="H44:I44"/>
    <mergeCell ref="H45:I45"/>
    <mergeCell ref="A3:I3"/>
    <mergeCell ref="C20:G20"/>
    <mergeCell ref="H20:I20"/>
    <mergeCell ref="H23:I23"/>
    <mergeCell ref="A41:B41"/>
    <mergeCell ref="C43:G43"/>
    <mergeCell ref="H43:I4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DFP - refino 02</vt:lpstr>
      <vt:lpstr>modelo 02</vt:lpstr>
      <vt:lpstr>DFP - refino 01</vt:lpstr>
      <vt:lpstr>modelo 01</vt:lpstr>
      <vt:lpstr>'DFP - refino 02'!Area_de_impressao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Celice Santana Souza</dc:creator>
  <cp:lastModifiedBy>Larissa Mesquita</cp:lastModifiedBy>
  <cp:lastPrinted>2019-10-22T13:40:59Z</cp:lastPrinted>
  <dcterms:created xsi:type="dcterms:W3CDTF">2015-06-16T16:59:49Z</dcterms:created>
  <dcterms:modified xsi:type="dcterms:W3CDTF">2019-10-22T13:41:59Z</dcterms:modified>
</cp:coreProperties>
</file>