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REFRATARIO\PC 856-L-18 ELETRICO\"/>
    </mc:Choice>
  </mc:AlternateContent>
  <bookViews>
    <workbookView xWindow="0" yWindow="0" windowWidth="20490" windowHeight="9045"/>
  </bookViews>
  <sheets>
    <sheet name="DFP" sheetId="1" r:id="rId1"/>
    <sheet name="Plan2" sheetId="2" r:id="rId2"/>
  </sheets>
  <calcPr calcId="152511"/>
</workbook>
</file>

<file path=xl/calcChain.xml><?xml version="1.0" encoding="utf-8"?>
<calcChain xmlns="http://schemas.openxmlformats.org/spreadsheetml/2006/main">
  <c r="C67" i="1" l="1"/>
  <c r="N18" i="2"/>
  <c r="N16" i="2"/>
  <c r="N14" i="2"/>
  <c r="C73" i="1"/>
  <c r="C70" i="1" l="1"/>
  <c r="C72" i="1"/>
  <c r="C68" i="1"/>
  <c r="N11" i="2"/>
  <c r="N10" i="2"/>
  <c r="H11" i="2"/>
  <c r="H10" i="2"/>
  <c r="B107" i="1" l="1"/>
  <c r="L12" i="2" l="1"/>
  <c r="L14" i="2" s="1"/>
  <c r="K12" i="2"/>
  <c r="K14" i="2" s="1"/>
  <c r="C42" i="1"/>
  <c r="G120" i="2"/>
  <c r="G119" i="2"/>
  <c r="G134" i="2"/>
  <c r="G135" i="2"/>
  <c r="G136" i="2"/>
  <c r="G137" i="2"/>
  <c r="G138" i="2"/>
  <c r="G139" i="2"/>
  <c r="G133" i="2"/>
  <c r="G126" i="2"/>
  <c r="G127" i="2"/>
  <c r="G128" i="2"/>
  <c r="G129" i="2"/>
  <c r="G130" i="2"/>
  <c r="G125" i="2"/>
  <c r="G124" i="2"/>
  <c r="G123" i="2"/>
  <c r="G122" i="2"/>
  <c r="G121" i="2"/>
  <c r="D73" i="1"/>
  <c r="D68" i="1"/>
  <c r="G140" i="2" l="1"/>
  <c r="G131" i="2"/>
  <c r="G142" i="2" s="1"/>
  <c r="D74" i="1"/>
  <c r="N17" i="2"/>
  <c r="N15" i="2"/>
  <c r="D52" i="1"/>
  <c r="D47" i="1"/>
  <c r="D64" i="1"/>
  <c r="D67" i="1"/>
  <c r="F10" i="2"/>
  <c r="I10" i="2" s="1"/>
  <c r="C11" i="2"/>
  <c r="B112" i="2"/>
  <c r="D97" i="2"/>
  <c r="D85" i="2"/>
  <c r="D84" i="2"/>
  <c r="D83" i="2"/>
  <c r="D76" i="2"/>
  <c r="D75" i="2"/>
  <c r="D74" i="2"/>
  <c r="D73" i="2"/>
  <c r="D72" i="2"/>
  <c r="D71" i="2"/>
  <c r="D70" i="2"/>
  <c r="D69" i="2"/>
  <c r="D68" i="2"/>
  <c r="D67" i="2"/>
  <c r="D66" i="2"/>
  <c r="D59" i="2"/>
  <c r="D58" i="2"/>
  <c r="D57" i="2"/>
  <c r="C56" i="2"/>
  <c r="D56" i="2" s="1"/>
  <c r="D55" i="2"/>
  <c r="D54" i="2"/>
  <c r="D53" i="2"/>
  <c r="C22" i="2"/>
  <c r="G22" i="2" s="1"/>
  <c r="C21" i="2"/>
  <c r="H21" i="2" s="1"/>
  <c r="C20" i="2"/>
  <c r="F20" i="2" s="1"/>
  <c r="C19" i="2"/>
  <c r="F19" i="2" s="1"/>
  <c r="C18" i="2"/>
  <c r="G18" i="2" s="1"/>
  <c r="H16" i="2"/>
  <c r="G16" i="2"/>
  <c r="F16" i="2"/>
  <c r="H15" i="2"/>
  <c r="G15" i="2"/>
  <c r="F15" i="2"/>
  <c r="C14" i="2"/>
  <c r="H14" i="2" s="1"/>
  <c r="C13" i="2"/>
  <c r="H13" i="2" s="1"/>
  <c r="C12" i="2"/>
  <c r="H12" i="2" s="1"/>
  <c r="E10" i="1"/>
  <c r="E11" i="1"/>
  <c r="E12" i="1"/>
  <c r="E13" i="1"/>
  <c r="E14" i="1"/>
  <c r="E15" i="1"/>
  <c r="E16" i="1"/>
  <c r="E17" i="1"/>
  <c r="E18" i="1"/>
  <c r="E19" i="1"/>
  <c r="C69" i="1"/>
  <c r="D69" i="1" s="1"/>
  <c r="D70" i="1"/>
  <c r="D71" i="1"/>
  <c r="D72" i="1"/>
  <c r="C57" i="1"/>
  <c r="C46" i="1"/>
  <c r="D46" i="1" s="1"/>
  <c r="C66" i="1"/>
  <c r="D66" i="1" s="1"/>
  <c r="D65" i="1"/>
  <c r="C45" i="1"/>
  <c r="D45" i="1" s="1"/>
  <c r="C44" i="1"/>
  <c r="D44" i="1" s="1"/>
  <c r="D43" i="1"/>
  <c r="D42" i="1"/>
  <c r="C41" i="1"/>
  <c r="D41" i="1" s="1"/>
  <c r="C40" i="1"/>
  <c r="D40" i="1" s="1"/>
  <c r="C39" i="1"/>
  <c r="D39" i="1" s="1"/>
  <c r="D38" i="1"/>
  <c r="D37" i="1"/>
  <c r="D59" i="1"/>
  <c r="D58" i="1"/>
  <c r="D57" i="1"/>
  <c r="D51" i="1"/>
  <c r="D50" i="1"/>
  <c r="D48" i="1"/>
  <c r="D49" i="1"/>
  <c r="D53" i="1"/>
  <c r="F11" i="2" l="1"/>
  <c r="G20" i="2"/>
  <c r="I15" i="2"/>
  <c r="H19" i="2"/>
  <c r="N20" i="2"/>
  <c r="H20" i="2"/>
  <c r="I11" i="2"/>
  <c r="N19" i="2"/>
  <c r="N22" i="2"/>
  <c r="N12" i="2"/>
  <c r="F12" i="2"/>
  <c r="I20" i="2"/>
  <c r="N13" i="2"/>
  <c r="N21" i="2"/>
  <c r="I16" i="2"/>
  <c r="F21" i="2"/>
  <c r="G12" i="2"/>
  <c r="D77" i="2"/>
  <c r="D61" i="2"/>
  <c r="D86" i="2"/>
  <c r="F13" i="2"/>
  <c r="I13" i="2" s="1"/>
  <c r="F14" i="2"/>
  <c r="I14" i="2" s="1"/>
  <c r="F18" i="2"/>
  <c r="G21" i="2"/>
  <c r="F22" i="2"/>
  <c r="H18" i="2"/>
  <c r="G19" i="2"/>
  <c r="I19" i="2" s="1"/>
  <c r="H22" i="2"/>
  <c r="D61" i="1"/>
  <c r="D75" i="1"/>
  <c r="D36" i="1"/>
  <c r="E22" i="1"/>
  <c r="E21" i="1"/>
  <c r="E20" i="1"/>
  <c r="E9" i="1"/>
  <c r="E8" i="1"/>
  <c r="I12" i="2" l="1"/>
  <c r="N23" i="2"/>
  <c r="I21" i="2"/>
  <c r="I22" i="2"/>
  <c r="I18" i="2"/>
  <c r="D54" i="1"/>
  <c r="D76" i="1"/>
  <c r="E23" i="1"/>
  <c r="E24" i="1" s="1"/>
  <c r="I27" i="2" l="1"/>
  <c r="C31" i="2" s="1"/>
  <c r="E26" i="1"/>
  <c r="C31" i="1" s="1"/>
  <c r="C38" i="2" l="1"/>
  <c r="C36" i="2"/>
  <c r="C32" i="2"/>
  <c r="C46" i="2" s="1"/>
  <c r="C42" i="2"/>
  <c r="C37" i="2"/>
  <c r="C35" i="2"/>
  <c r="E33" i="1"/>
  <c r="E78" i="1" s="1"/>
  <c r="C91" i="1" l="1"/>
  <c r="D91" i="1" s="1"/>
  <c r="D94" i="1" s="1"/>
  <c r="C82" i="1"/>
  <c r="D82" i="1" s="1"/>
  <c r="C83" i="1"/>
  <c r="D83" i="1" s="1"/>
  <c r="C84" i="1"/>
  <c r="D84" i="1" s="1"/>
  <c r="C48" i="2"/>
  <c r="E98" i="2" s="1"/>
  <c r="D115" i="2" s="1"/>
  <c r="H50" i="2" l="1"/>
  <c r="H63" i="2" s="1"/>
  <c r="D86" i="1"/>
  <c r="E98" i="1" s="1"/>
  <c r="E109" i="1" s="1"/>
  <c r="E111" i="1" s="1"/>
</calcChain>
</file>

<file path=xl/comments1.xml><?xml version="1.0" encoding="utf-8"?>
<comments xmlns="http://schemas.openxmlformats.org/spreadsheetml/2006/main">
  <authors>
    <author>Risoterm - Obra Dow</author>
  </authors>
  <commentList>
    <comment ref="C119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</commentList>
</comments>
</file>

<file path=xl/sharedStrings.xml><?xml version="1.0" encoding="utf-8"?>
<sst xmlns="http://schemas.openxmlformats.org/spreadsheetml/2006/main" count="303" uniqueCount="185">
  <si>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</si>
  <si>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</si>
  <si>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</si>
  <si>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</si>
  <si>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</si>
  <si>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</si>
  <si>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</si>
  <si>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</si>
  <si>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</si>
  <si>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</si>
  <si>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</si>
  <si>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</si>
  <si>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</si>
  <si>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</si>
  <si>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</si>
  <si>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</si>
  <si>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</si>
  <si>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</si>
  <si>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</si>
  <si>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</si>
  <si>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</si>
  <si>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</si>
  <si>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</si>
  <si>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</si>
  <si>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</si>
  <si>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</si>
  <si>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</si>
  <si>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</si>
  <si>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</si>
  <si>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</si>
  <si>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</si>
  <si>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</si>
  <si>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</si>
  <si>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</si>
  <si>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</si>
  <si>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</si>
  <si>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</si>
  <si>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</si>
  <si>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</si>
  <si>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</si>
  <si>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</si>
  <si>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</si>
  <si>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</si>
  <si>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</si>
  <si>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</si>
  <si>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</si>
  <si>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</si>
  <si>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</si>
  <si>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</si>
  <si>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</si>
  <si>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</si>
  <si>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</si>
  <si>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</si>
  <si>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</si>
  <si>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</si>
  <si>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</si>
  <si>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</si>
  <si>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</si>
  <si>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</si>
  <si>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</si>
  <si>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</si>
  <si>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</si>
  <si>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</si>
  <si>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</si>
  <si>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</si>
  <si>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</si>
  <si>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Coordenador</t>
  </si>
  <si>
    <t>Téc. de Segurança</t>
  </si>
  <si>
    <t>Almoxarife</t>
  </si>
  <si>
    <t>Supervisor</t>
  </si>
  <si>
    <t>Pedreiro Refratarista</t>
  </si>
  <si>
    <t>Ajudante</t>
  </si>
  <si>
    <t>Marteleteiro</t>
  </si>
  <si>
    <t>Obs. Segurança</t>
  </si>
  <si>
    <t>Cortador</t>
  </si>
  <si>
    <t>Encarregado</t>
  </si>
  <si>
    <t>Aux. Administrativo</t>
  </si>
  <si>
    <t xml:space="preserve">Misturador de Concreto </t>
  </si>
  <si>
    <t>Máquina Policort</t>
  </si>
  <si>
    <t>Disco Máquina Policorte</t>
  </si>
  <si>
    <t>Serra Tico-tico</t>
  </si>
  <si>
    <t>Serra Circular</t>
  </si>
  <si>
    <t>Rádios</t>
  </si>
  <si>
    <t>vb</t>
  </si>
  <si>
    <t>Iluminaçao</t>
  </si>
  <si>
    <t>Compressor de Ar</t>
  </si>
  <si>
    <t>Martelete</t>
  </si>
  <si>
    <t>Ponteira de Martelete</t>
  </si>
  <si>
    <t>Maquina de Carga</t>
  </si>
  <si>
    <t>Empilhadeira</t>
  </si>
  <si>
    <t>Esteira</t>
  </si>
  <si>
    <t xml:space="preserve">Toldo 6 x 6 </t>
  </si>
  <si>
    <t>Exames Médicos</t>
  </si>
  <si>
    <t>Seguro de Acidentes Pessoais</t>
  </si>
  <si>
    <t>Cesta Básica</t>
  </si>
  <si>
    <t>Higienização de EPI´S</t>
  </si>
  <si>
    <t>Apoio de Andaime</t>
  </si>
  <si>
    <t>Apoio de Caldeiraria</t>
  </si>
  <si>
    <t>Adm. Central e Gerenciamento</t>
  </si>
  <si>
    <t>Despesas Financeiras</t>
  </si>
  <si>
    <t>Lucro Operacional</t>
  </si>
  <si>
    <t>Provisão p/ IRPJ e CSLL</t>
  </si>
  <si>
    <t>Fardamento</t>
  </si>
  <si>
    <t>EPI's</t>
  </si>
  <si>
    <t>Téc. de Planejamento</t>
  </si>
  <si>
    <t>COMPOSIÇÃO DE PREÇOS- Forno Eletrico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</si>
  <si>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</si>
  <si>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</si>
  <si>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</si>
  <si>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</si>
  <si>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</si>
  <si>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</si>
  <si>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</si>
  <si>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</si>
  <si>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</si>
  <si>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Indireta</t>
  </si>
  <si>
    <t>11 x 11</t>
  </si>
  <si>
    <t xml:space="preserve">Encarregado </t>
  </si>
  <si>
    <t>Mão-de-Obra Direta</t>
  </si>
  <si>
    <r>
      <t>BASE: MARCO</t>
    </r>
    <r>
      <rPr>
        <sz val="10"/>
        <rFont val="Arial"/>
        <family val="2"/>
      </rPr>
      <t>/ 2015</t>
    </r>
  </si>
  <si>
    <t>Total Salários</t>
  </si>
  <si>
    <t xml:space="preserve">1.2 Encargos Sociais </t>
  </si>
  <si>
    <t>Encargos Sociais</t>
  </si>
  <si>
    <t>% Encargos</t>
  </si>
  <si>
    <t>Valor Mensal</t>
  </si>
  <si>
    <t>A) Encargos Básicos</t>
  </si>
  <si>
    <t>INSS Empresa</t>
  </si>
  <si>
    <t>FGTS</t>
  </si>
  <si>
    <t xml:space="preserve">B) Encargos Esporádicos </t>
  </si>
  <si>
    <t>13º Salário</t>
  </si>
  <si>
    <t>Férias</t>
  </si>
  <si>
    <t>Auxílio Doença</t>
  </si>
  <si>
    <t>Aviso Prévio Idenizado</t>
  </si>
  <si>
    <t xml:space="preserve">C) Taxa das Reincidências </t>
  </si>
  <si>
    <t>Reincidência de "A"  x "B"</t>
  </si>
  <si>
    <t xml:space="preserve">D) Multa por Despedida </t>
  </si>
  <si>
    <t>Depósito por despedida</t>
  </si>
  <si>
    <t>50% (FGTS)</t>
  </si>
  <si>
    <t>TOTAL  ENCARGOS</t>
  </si>
  <si>
    <t>Total de M.O. + Encargos</t>
  </si>
  <si>
    <t xml:space="preserve">1.3 Outros Custos Relativos a Mão-de-Obra </t>
  </si>
  <si>
    <t>Base de Cálculo</t>
  </si>
  <si>
    <t>Custo Mensal (R$)</t>
  </si>
  <si>
    <t>Fardamento e EPI's</t>
  </si>
  <si>
    <t xml:space="preserve">Mat. Consumíveis </t>
  </si>
  <si>
    <t>Total de Outros Custos</t>
  </si>
  <si>
    <t>TOTAL Salários + Encargos + Outros Custos Mão-de-Obra</t>
  </si>
  <si>
    <t>1.4 - Infra-estrutura (Instrumentos, Equipamentos e Ferramentas)</t>
  </si>
  <si>
    <t>Custo Total (R$)</t>
  </si>
  <si>
    <t>Ferramental</t>
  </si>
  <si>
    <t>Total Infra-estrutura</t>
  </si>
  <si>
    <t>1.6  Veículos</t>
  </si>
  <si>
    <t>Caminhão Caçamba</t>
  </si>
  <si>
    <t>Pá carregadeira</t>
  </si>
  <si>
    <t>Total Veiculos</t>
  </si>
  <si>
    <t>1.7  Bonus Parada</t>
  </si>
  <si>
    <t>Bonus de parada</t>
  </si>
  <si>
    <t>VB</t>
  </si>
  <si>
    <t>Total Bonus Parada</t>
  </si>
  <si>
    <t>1.8  Andaime</t>
  </si>
  <si>
    <t>Andaime</t>
  </si>
  <si>
    <t>Total Andaime</t>
  </si>
  <si>
    <t>Total Custos Diretos (1.1+1.2+1.3+1.4+1.5+1.6+1.7+1.8)</t>
  </si>
  <si>
    <t>2.BDI (Benefícios, Despesas Indiretas e Impostos)</t>
  </si>
  <si>
    <t xml:space="preserve">COFINS </t>
  </si>
  <si>
    <t>Total do BDI</t>
  </si>
  <si>
    <t>Preço Total para Faturamento (Ítem 1 / (100%-Ítem 2))</t>
  </si>
  <si>
    <t>Prémio parada</t>
  </si>
  <si>
    <t>vg</t>
  </si>
  <si>
    <t>Container 6m - almox</t>
  </si>
  <si>
    <t>Container 6m - vest</t>
  </si>
  <si>
    <t>Container 6m - adm</t>
  </si>
  <si>
    <t>PRÊMIO PARADA</t>
  </si>
  <si>
    <t>Total</t>
  </si>
  <si>
    <t xml:space="preserve">Alimentação </t>
  </si>
  <si>
    <t>Caminhão com motorista</t>
  </si>
  <si>
    <t>v v</t>
  </si>
  <si>
    <t>Qtd</t>
  </si>
  <si>
    <t>Dias</t>
  </si>
  <si>
    <t>desjejum</t>
  </si>
  <si>
    <t>almoço</t>
  </si>
  <si>
    <t>lanche</t>
  </si>
  <si>
    <t>Ceia</t>
  </si>
  <si>
    <t>DIA</t>
  </si>
  <si>
    <t>NOITE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</si>
</sst>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[$R$-416]* #,##0.00_-;\-[$R$-416]* #,##0.00_-;_-[$R$-416]* &quot;-&quot;??_-;_-@_-"/>
    <numFmt numFmtId="166" formatCode="0.0%"/>
    <numFmt numFmtId="167" formatCode="_(&quot;R$&quot;* #,##0.00_);_(&quot;R$&quot;* \(#,##0.00\);_(&quot;R$&quot;* &quot;-&quot;??_);_(@_)"/>
    <numFmt numFmtId="168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27"/>
      </patternFill>
    </fill>
    <fill>
      <patternFill patternType="lightGray">
        <fgColor indexed="22"/>
        <bgColor theme="0"/>
      </patternFill>
    </fill>
    <fill>
      <patternFill patternType="lightGray">
        <fgColor indexed="22"/>
        <bgColor rgb="FFFFFF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35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2" fillId="0" borderId="0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4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4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2" fillId="0" borderId="12" xfId="1" applyFont="1" applyBorder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4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10" fontId="2" fillId="4" borderId="9" xfId="1" applyNumberFormat="1" applyFont="1" applyFill="1" applyBorder="1" applyAlignment="1" applyProtection="1">
      <alignment horizontal="left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4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2" fillId="4" borderId="9" xfId="1" applyFont="1" applyFill="1" applyBorder="1" applyAlignment="1" applyProtection="1">
      <alignment horizontal="center"/>
      <protection locked="0"/>
    </xf>
    <xf numFmtId="10" fontId="2" fillId="4" borderId="8" xfId="1" applyNumberFormat="1" applyFont="1" applyFill="1" applyBorder="1" applyAlignment="1" applyProtection="1">
      <alignment horizontal="center"/>
      <protection locked="0"/>
    </xf>
    <xf numFmtId="10" fontId="2" fillId="4" borderId="17" xfId="1" applyNumberFormat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2" fillId="0" borderId="19" xfId="1" applyFont="1" applyBorder="1"/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4" fontId="3" fillId="0" borderId="7" xfId="1" applyNumberFormat="1" applyFont="1" applyBorder="1" applyAlignment="1" applyProtection="1">
      <alignment vertical="center"/>
      <protection locked="0"/>
    </xf>
    <xf numFmtId="164" fontId="2" fillId="3" borderId="13" xfId="3" applyFont="1" applyFill="1" applyBorder="1" applyAlignment="1" applyProtection="1">
      <alignment horizontal="center" vertical="center"/>
    </xf>
    <xf numFmtId="164" fontId="3" fillId="0" borderId="13" xfId="3" applyFont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vertical="center"/>
    </xf>
    <xf numFmtId="164" fontId="3" fillId="5" borderId="7" xfId="1" applyNumberFormat="1" applyFont="1" applyFill="1" applyBorder="1" applyAlignment="1" applyProtection="1">
      <alignment horizontal="right" vertical="center"/>
    </xf>
    <xf numFmtId="164" fontId="2" fillId="3" borderId="9" xfId="1" applyNumberFormat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164" fontId="2" fillId="3" borderId="19" xfId="1" applyNumberFormat="1" applyFont="1" applyFill="1" applyBorder="1" applyAlignment="1" applyProtection="1">
      <alignment horizontal="center"/>
    </xf>
    <xf numFmtId="164" fontId="2" fillId="3" borderId="8" xfId="3" applyFont="1" applyFill="1" applyBorder="1" applyAlignment="1" applyProtection="1">
      <alignment horizontal="center"/>
    </xf>
    <xf numFmtId="164" fontId="2" fillId="3" borderId="13" xfId="3" applyFont="1" applyFill="1" applyBorder="1" applyAlignment="1" applyProtection="1">
      <alignment horizontal="center"/>
    </xf>
    <xf numFmtId="164" fontId="2" fillId="3" borderId="9" xfId="3" applyFont="1" applyFill="1" applyBorder="1" applyAlignment="1" applyProtection="1">
      <alignment horizontal="center"/>
    </xf>
    <xf numFmtId="164" fontId="2" fillId="3" borderId="17" xfId="3" applyFont="1" applyFill="1" applyBorder="1" applyAlignment="1" applyProtection="1">
      <alignment horizontal="center"/>
    </xf>
    <xf numFmtId="164" fontId="2" fillId="3" borderId="14" xfId="3" applyFont="1" applyFill="1" applyBorder="1" applyAlignment="1" applyProtection="1">
      <alignment horizontal="center"/>
    </xf>
    <xf numFmtId="164" fontId="2" fillId="3" borderId="1" xfId="3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4" fontId="5" fillId="3" borderId="4" xfId="3" applyFont="1" applyFill="1" applyBorder="1" applyAlignment="1" applyProtection="1">
      <alignment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center" vertical="center" wrapText="1"/>
    </xf>
    <xf numFmtId="164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8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4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4" fontId="3" fillId="7" borderId="4" xfId="3" applyFont="1" applyFill="1" applyBorder="1" applyAlignment="1" applyProtection="1">
      <alignment vertical="center"/>
    </xf>
    <xf numFmtId="0" fontId="1" fillId="4" borderId="13" xfId="1" applyFont="1" applyFill="1" applyBorder="1" applyAlignment="1" applyProtection="1">
      <alignment vertical="center"/>
      <protection locked="0"/>
    </xf>
    <xf numFmtId="44" fontId="0" fillId="0" borderId="0" xfId="4" applyFont="1"/>
    <xf numFmtId="44" fontId="0" fillId="0" borderId="0" xfId="0" applyNumberFormat="1"/>
    <xf numFmtId="10" fontId="1" fillId="4" borderId="9" xfId="1" applyNumberFormat="1" applyFont="1" applyFill="1" applyBorder="1" applyAlignment="1" applyProtection="1">
      <alignment horizontal="left"/>
      <protection locked="0"/>
    </xf>
    <xf numFmtId="0" fontId="1" fillId="0" borderId="9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0" fontId="1" fillId="4" borderId="19" xfId="1" applyNumberFormat="1" applyFont="1" applyFill="1" applyBorder="1" applyAlignment="1" applyProtection="1">
      <alignment horizontal="center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4" fontId="2" fillId="3" borderId="14" xfId="3" applyFont="1" applyFill="1" applyBorder="1" applyAlignment="1" applyProtection="1">
      <alignment horizontal="center" vertical="center"/>
    </xf>
    <xf numFmtId="0" fontId="1" fillId="0" borderId="3" xfId="1" applyFont="1" applyBorder="1"/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6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4" fontId="1" fillId="0" borderId="8" xfId="5" applyNumberFormat="1" applyFont="1" applyFill="1" applyBorder="1" applyAlignment="1" applyProtection="1">
      <alignment horizontal="center" wrapText="1"/>
      <protection locked="0"/>
    </xf>
    <xf numFmtId="0" fontId="1" fillId="0" borderId="8" xfId="5" applyNumberFormat="1" applyFont="1" applyFill="1" applyBorder="1" applyAlignment="1" applyProtection="1">
      <alignment horizontal="center" vertical="center"/>
      <protection locked="0"/>
    </xf>
    <xf numFmtId="164" fontId="3" fillId="9" borderId="8" xfId="5" applyNumberFormat="1" applyFont="1" applyFill="1" applyBorder="1" applyAlignment="1">
      <alignment horizontal="center" vertical="center"/>
    </xf>
    <xf numFmtId="166" fontId="0" fillId="0" borderId="0" xfId="2" applyNumberFormat="1" applyFont="1"/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5" applyNumberFormat="1" applyFont="1" applyFill="1" applyBorder="1" applyAlignment="1" applyProtection="1">
      <alignment horizontal="center" vertical="center"/>
      <protection locked="0"/>
    </xf>
    <xf numFmtId="167" fontId="1" fillId="0" borderId="9" xfId="4" applyNumberFormat="1" applyFont="1" applyFill="1" applyBorder="1" applyAlignment="1" applyProtection="1">
      <alignment horizontal="center" vertical="center"/>
      <protection locked="0"/>
    </xf>
    <xf numFmtId="2" fontId="1" fillId="0" borderId="9" xfId="4" applyNumberFormat="1" applyFont="1" applyFill="1" applyBorder="1" applyAlignment="1" applyProtection="1">
      <alignment horizontal="center" wrapText="1"/>
      <protection locked="0"/>
    </xf>
    <xf numFmtId="11" fontId="16" fillId="0" borderId="9" xfId="0" applyNumberFormat="1" applyFont="1" applyFill="1" applyBorder="1" applyAlignment="1" applyProtection="1">
      <alignment vertical="center"/>
      <protection locked="0"/>
    </xf>
    <xf numFmtId="167" fontId="1" fillId="9" borderId="9" xfId="4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  <protection locked="0"/>
    </xf>
    <xf numFmtId="164" fontId="1" fillId="0" borderId="9" xfId="5" applyNumberFormat="1" applyFont="1" applyFill="1" applyBorder="1" applyAlignment="1" applyProtection="1">
      <alignment horizontal="center" wrapText="1"/>
      <protection locked="0"/>
    </xf>
    <xf numFmtId="164" fontId="1" fillId="0" borderId="9" xfId="5" applyNumberFormat="1" applyFont="1" applyFill="1" applyBorder="1" applyAlignment="1" applyProtection="1">
      <alignment horizontal="center" vertical="center"/>
      <protection locked="0"/>
    </xf>
    <xf numFmtId="164" fontId="1" fillId="9" borderId="9" xfId="5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/>
      <protection locked="0"/>
    </xf>
    <xf numFmtId="164" fontId="3" fillId="9" borderId="9" xfId="5" applyNumberFormat="1" applyFont="1" applyFill="1" applyBorder="1" applyAlignment="1">
      <alignment horizontal="center" vertical="center"/>
    </xf>
    <xf numFmtId="11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9" fontId="1" fillId="0" borderId="9" xfId="2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164" fontId="1" fillId="0" borderId="0" xfId="5" applyNumberFormat="1" applyFont="1" applyFill="1" applyBorder="1" applyAlignment="1" applyProtection="1">
      <alignment horizontal="center" wrapText="1"/>
      <protection locked="0"/>
    </xf>
    <xf numFmtId="0" fontId="3" fillId="0" borderId="0" xfId="5" applyNumberFormat="1" applyFont="1" applyBorder="1" applyAlignment="1">
      <alignment horizontal="center" vertical="center"/>
    </xf>
    <xf numFmtId="164" fontId="3" fillId="0" borderId="0" xfId="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7" fontId="3" fillId="2" borderId="4" xfId="4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1" borderId="8" xfId="0" applyFont="1" applyFill="1" applyBorder="1"/>
    <xf numFmtId="10" fontId="3" fillId="12" borderId="8" xfId="0" applyNumberFormat="1" applyFont="1" applyFill="1" applyBorder="1" applyAlignment="1" applyProtection="1">
      <alignment horizontal="center"/>
      <protection locked="0"/>
    </xf>
    <xf numFmtId="164" fontId="3" fillId="9" borderId="25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11" borderId="9" xfId="0" applyFont="1" applyFill="1" applyBorder="1"/>
    <xf numFmtId="10" fontId="1" fillId="0" borderId="9" xfId="0" applyNumberFormat="1" applyFont="1" applyFill="1" applyBorder="1" applyAlignment="1" applyProtection="1">
      <alignment horizontal="center"/>
      <protection locked="0"/>
    </xf>
    <xf numFmtId="167" fontId="1" fillId="9" borderId="26" xfId="4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3" fillId="11" borderId="9" xfId="0" applyFont="1" applyFill="1" applyBorder="1"/>
    <xf numFmtId="10" fontId="3" fillId="0" borderId="9" xfId="0" applyNumberFormat="1" applyFont="1" applyFill="1" applyBorder="1" applyAlignment="1" applyProtection="1">
      <alignment horizontal="center"/>
      <protection locked="0"/>
    </xf>
    <xf numFmtId="164" fontId="3" fillId="9" borderId="26" xfId="0" applyNumberFormat="1" applyFont="1" applyFill="1" applyBorder="1" applyAlignment="1">
      <alignment horizontal="center"/>
    </xf>
    <xf numFmtId="10" fontId="1" fillId="0" borderId="26" xfId="2" applyNumberFormat="1" applyFont="1" applyFill="1" applyBorder="1" applyAlignment="1">
      <alignment horizontal="center"/>
    </xf>
    <xf numFmtId="10" fontId="18" fillId="0" borderId="9" xfId="0" applyNumberFormat="1" applyFont="1" applyFill="1" applyBorder="1" applyAlignment="1" applyProtection="1">
      <alignment horizontal="center"/>
      <protection locked="0"/>
    </xf>
    <xf numFmtId="167" fontId="3" fillId="9" borderId="26" xfId="4" applyNumberFormat="1" applyFont="1" applyFill="1" applyBorder="1" applyAlignment="1">
      <alignment horizontal="center"/>
    </xf>
    <xf numFmtId="10" fontId="3" fillId="12" borderId="9" xfId="0" applyNumberFormat="1" applyFont="1" applyFill="1" applyBorder="1" applyAlignment="1" applyProtection="1">
      <alignment horizontal="center"/>
      <protection locked="0"/>
    </xf>
    <xf numFmtId="10" fontId="1" fillId="12" borderId="9" xfId="0" applyNumberFormat="1" applyFont="1" applyFill="1" applyBorder="1" applyAlignment="1" applyProtection="1">
      <alignment horizontal="center"/>
      <protection locked="0"/>
    </xf>
    <xf numFmtId="0" fontId="1" fillId="11" borderId="14" xfId="0" applyFont="1" applyFill="1" applyBorder="1"/>
    <xf numFmtId="10" fontId="1" fillId="12" borderId="14" xfId="0" applyNumberFormat="1" applyFont="1" applyFill="1" applyBorder="1" applyAlignment="1" applyProtection="1">
      <alignment horizontal="center"/>
      <protection locked="0"/>
    </xf>
    <xf numFmtId="164" fontId="1" fillId="9" borderId="27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/>
    </xf>
    <xf numFmtId="10" fontId="3" fillId="5" borderId="4" xfId="0" applyNumberFormat="1" applyFont="1" applyFill="1" applyBorder="1" applyAlignment="1">
      <alignment horizontal="center" vertical="center"/>
    </xf>
    <xf numFmtId="167" fontId="3" fillId="5" borderId="4" xfId="4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left"/>
    </xf>
    <xf numFmtId="10" fontId="1" fillId="0" borderId="0" xfId="2" applyNumberFormat="1" applyFont="1" applyFill="1" applyBorder="1" applyAlignment="1">
      <alignment horizontal="center"/>
    </xf>
    <xf numFmtId="9" fontId="1" fillId="0" borderId="0" xfId="2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164" fontId="1" fillId="0" borderId="0" xfId="0" applyNumberFormat="1" applyFont="1"/>
    <xf numFmtId="0" fontId="3" fillId="5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1" fillId="11" borderId="3" xfId="0" applyFont="1" applyFill="1" applyBorder="1"/>
    <xf numFmtId="167" fontId="1" fillId="12" borderId="9" xfId="4" applyNumberFormat="1" applyFont="1" applyFill="1" applyBorder="1" applyAlignment="1" applyProtection="1">
      <alignment horizontal="center"/>
      <protection locked="0"/>
    </xf>
    <xf numFmtId="4" fontId="1" fillId="13" borderId="9" xfId="0" applyNumberFormat="1" applyFont="1" applyFill="1" applyBorder="1" applyAlignment="1" applyProtection="1">
      <alignment horizontal="center"/>
      <protection locked="0"/>
    </xf>
    <xf numFmtId="167" fontId="1" fillId="12" borderId="3" xfId="4" applyNumberFormat="1" applyFont="1" applyFill="1" applyBorder="1" applyAlignment="1" applyProtection="1">
      <alignment horizontal="center"/>
      <protection locked="0"/>
    </xf>
    <xf numFmtId="167" fontId="1" fillId="13" borderId="18" xfId="4" applyNumberFormat="1" applyFont="1" applyFill="1" applyBorder="1" applyAlignment="1" applyProtection="1">
      <alignment horizontal="center"/>
      <protection locked="0"/>
    </xf>
    <xf numFmtId="167" fontId="1" fillId="13" borderId="0" xfId="4" applyNumberFormat="1" applyFont="1" applyFill="1" applyBorder="1" applyAlignment="1" applyProtection="1">
      <alignment horizontal="center"/>
      <protection locked="0"/>
    </xf>
    <xf numFmtId="167" fontId="1" fillId="9" borderId="0" xfId="4" applyNumberFormat="1" applyFont="1" applyFill="1" applyBorder="1" applyAlignment="1">
      <alignment horizontal="center"/>
    </xf>
    <xf numFmtId="0" fontId="1" fillId="11" borderId="28" xfId="0" applyFont="1" applyFill="1" applyBorder="1"/>
    <xf numFmtId="167" fontId="1" fillId="12" borderId="13" xfId="4" applyNumberFormat="1" applyFont="1" applyFill="1" applyBorder="1" applyAlignment="1" applyProtection="1">
      <alignment horizontal="center"/>
      <protection locked="0"/>
    </xf>
    <xf numFmtId="4" fontId="1" fillId="12" borderId="13" xfId="0" applyNumberFormat="1" applyFont="1" applyFill="1" applyBorder="1" applyAlignment="1" applyProtection="1">
      <alignment horizontal="center"/>
      <protection locked="0"/>
    </xf>
    <xf numFmtId="4" fontId="1" fillId="14" borderId="9" xfId="0" applyNumberFormat="1" applyFont="1" applyFill="1" applyBorder="1" applyAlignment="1" applyProtection="1">
      <alignment horizontal="center"/>
      <protection locked="0"/>
    </xf>
    <xf numFmtId="0" fontId="1" fillId="12" borderId="3" xfId="0" applyFont="1" applyFill="1" applyBorder="1" applyProtection="1">
      <protection locked="0"/>
    </xf>
    <xf numFmtId="4" fontId="1" fillId="12" borderId="9" xfId="0" applyNumberFormat="1" applyFont="1" applyFill="1" applyBorder="1" applyAlignment="1" applyProtection="1">
      <alignment horizontal="center"/>
      <protection locked="0"/>
    </xf>
    <xf numFmtId="0" fontId="1" fillId="12" borderId="9" xfId="0" applyFont="1" applyFill="1" applyBorder="1" applyAlignment="1" applyProtection="1">
      <alignment horizontal="center"/>
      <protection locked="0"/>
    </xf>
    <xf numFmtId="164" fontId="1" fillId="12" borderId="3" xfId="5" applyNumberFormat="1" applyFont="1" applyFill="1" applyBorder="1" applyAlignment="1" applyProtection="1">
      <alignment horizontal="center"/>
      <protection locked="0"/>
    </xf>
    <xf numFmtId="164" fontId="1" fillId="0" borderId="18" xfId="5" applyNumberFormat="1" applyFont="1" applyFill="1" applyBorder="1" applyAlignment="1" applyProtection="1">
      <alignment horizontal="center"/>
      <protection locked="0"/>
    </xf>
    <xf numFmtId="164" fontId="1" fillId="0" borderId="0" xfId="5" applyNumberFormat="1" applyFont="1" applyFill="1" applyBorder="1" applyAlignment="1" applyProtection="1">
      <alignment horizontal="center"/>
      <protection locked="0"/>
    </xf>
    <xf numFmtId="164" fontId="1" fillId="0" borderId="0" xfId="5" applyNumberFormat="1" applyFont="1" applyFill="1" applyBorder="1" applyAlignment="1">
      <alignment horizontal="center"/>
    </xf>
    <xf numFmtId="0" fontId="3" fillId="5" borderId="16" xfId="0" applyFont="1" applyFill="1" applyBorder="1" applyAlignment="1">
      <alignment vertical="center"/>
    </xf>
    <xf numFmtId="167" fontId="3" fillId="5" borderId="14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justify"/>
    </xf>
    <xf numFmtId="0" fontId="3" fillId="3" borderId="2" xfId="0" applyFont="1" applyFill="1" applyBorder="1" applyAlignment="1">
      <alignment horizontal="center" vertical="justify"/>
    </xf>
    <xf numFmtId="0" fontId="3" fillId="9" borderId="18" xfId="0" applyFont="1" applyFill="1" applyBorder="1" applyAlignment="1">
      <alignment horizontal="center" vertical="justify"/>
    </xf>
    <xf numFmtId="0" fontId="3" fillId="9" borderId="0" xfId="0" applyFont="1" applyFill="1" applyBorder="1" applyAlignment="1">
      <alignment horizontal="center" vertical="justify"/>
    </xf>
    <xf numFmtId="10" fontId="1" fillId="0" borderId="9" xfId="0" applyNumberFormat="1" applyFont="1" applyFill="1" applyBorder="1" applyAlignment="1" applyProtection="1">
      <alignment horizontal="left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167" fontId="1" fillId="0" borderId="9" xfId="4" applyNumberFormat="1" applyFont="1" applyFill="1" applyBorder="1" applyAlignment="1" applyProtection="1">
      <alignment horizontal="left" shrinkToFit="1"/>
      <protection locked="0"/>
    </xf>
    <xf numFmtId="167" fontId="1" fillId="0" borderId="3" xfId="4" applyNumberFormat="1" applyFont="1" applyFill="1" applyBorder="1" applyAlignment="1" applyProtection="1">
      <alignment horizontal="left" shrinkToFit="1"/>
      <protection locked="0"/>
    </xf>
    <xf numFmtId="167" fontId="1" fillId="9" borderId="18" xfId="4" applyNumberFormat="1" applyFont="1" applyFill="1" applyBorder="1" applyAlignment="1">
      <alignment horizontal="left" shrinkToFit="1"/>
    </xf>
    <xf numFmtId="167" fontId="1" fillId="9" borderId="0" xfId="4" applyNumberFormat="1" applyFont="1" applyFill="1" applyBorder="1" applyAlignment="1">
      <alignment horizontal="left" shrinkToFit="1"/>
    </xf>
    <xf numFmtId="0" fontId="1" fillId="0" borderId="9" xfId="0" applyFont="1" applyBorder="1"/>
    <xf numFmtId="10" fontId="1" fillId="0" borderId="29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center"/>
      <protection locked="0"/>
    </xf>
    <xf numFmtId="167" fontId="1" fillId="10" borderId="9" xfId="4" applyNumberFormat="1" applyFont="1" applyFill="1" applyBorder="1" applyAlignment="1" applyProtection="1">
      <alignment horizontal="left" shrinkToFit="1"/>
      <protection locked="0"/>
    </xf>
    <xf numFmtId="0" fontId="1" fillId="9" borderId="26" xfId="0" applyFont="1" applyFill="1" applyBorder="1" applyProtection="1">
      <protection locked="0"/>
    </xf>
    <xf numFmtId="0" fontId="1" fillId="9" borderId="24" xfId="0" applyFont="1" applyFill="1" applyBorder="1" applyAlignment="1" applyProtection="1">
      <alignment horizontal="center"/>
      <protection locked="0"/>
    </xf>
    <xf numFmtId="167" fontId="1" fillId="9" borderId="9" xfId="4" applyNumberFormat="1" applyFont="1" applyFill="1" applyBorder="1" applyAlignment="1" applyProtection="1">
      <alignment horizontal="center"/>
      <protection locked="0"/>
    </xf>
    <xf numFmtId="167" fontId="1" fillId="9" borderId="19" xfId="4" applyNumberFormat="1" applyFont="1" applyFill="1" applyBorder="1" applyAlignment="1" applyProtection="1">
      <alignment horizontal="center"/>
      <protection locked="0"/>
    </xf>
    <xf numFmtId="164" fontId="1" fillId="9" borderId="18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0" fontId="1" fillId="9" borderId="30" xfId="0" applyFont="1" applyFill="1" applyBorder="1" applyProtection="1">
      <protection locked="0"/>
    </xf>
    <xf numFmtId="0" fontId="1" fillId="9" borderId="19" xfId="0" applyFont="1" applyFill="1" applyBorder="1" applyAlignment="1" applyProtection="1">
      <alignment horizontal="center"/>
      <protection locked="0"/>
    </xf>
    <xf numFmtId="167" fontId="1" fillId="9" borderId="17" xfId="4" applyNumberFormat="1" applyFont="1" applyFill="1" applyBorder="1" applyAlignment="1" applyProtection="1">
      <alignment horizontal="center"/>
      <protection locked="0"/>
    </xf>
    <xf numFmtId="0" fontId="1" fillId="9" borderId="27" xfId="0" applyFont="1" applyFill="1" applyBorder="1" applyProtection="1">
      <protection locked="0"/>
    </xf>
    <xf numFmtId="0" fontId="1" fillId="9" borderId="14" xfId="0" applyFont="1" applyFill="1" applyBorder="1" applyAlignment="1" applyProtection="1">
      <alignment horizontal="center"/>
      <protection locked="0"/>
    </xf>
    <xf numFmtId="167" fontId="1" fillId="9" borderId="14" xfId="4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67" fontId="3" fillId="5" borderId="6" xfId="4" applyNumberFormat="1" applyFont="1" applyFill="1" applyBorder="1" applyAlignment="1">
      <alignment horizontal="right" vertical="center"/>
    </xf>
    <xf numFmtId="167" fontId="3" fillId="0" borderId="18" xfId="4" applyNumberFormat="1" applyFont="1" applyFill="1" applyBorder="1" applyAlignment="1">
      <alignment horizontal="right" vertical="center"/>
    </xf>
    <xf numFmtId="167" fontId="3" fillId="0" borderId="0" xfId="4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10" fontId="1" fillId="0" borderId="0" xfId="2" applyNumberFormat="1" applyFont="1"/>
    <xf numFmtId="0" fontId="3" fillId="3" borderId="4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1" fillId="9" borderId="2" xfId="0" applyFont="1" applyFill="1" applyBorder="1"/>
    <xf numFmtId="0" fontId="1" fillId="9" borderId="31" xfId="0" applyNumberFormat="1" applyFont="1" applyFill="1" applyBorder="1" applyAlignment="1" applyProtection="1">
      <alignment horizontal="center"/>
      <protection locked="0"/>
    </xf>
    <xf numFmtId="167" fontId="1" fillId="9" borderId="32" xfId="4" applyNumberFormat="1" applyFont="1" applyFill="1" applyBorder="1" applyAlignment="1" applyProtection="1">
      <alignment horizontal="center"/>
      <protection locked="0"/>
    </xf>
    <xf numFmtId="167" fontId="1" fillId="9" borderId="33" xfId="4" applyNumberFormat="1" applyFont="1" applyFill="1" applyBorder="1" applyAlignment="1" applyProtection="1">
      <alignment horizontal="center"/>
      <protection locked="0"/>
    </xf>
    <xf numFmtId="167" fontId="1" fillId="0" borderId="0" xfId="4" applyNumberFormat="1" applyFont="1" applyFill="1" applyBorder="1" applyAlignment="1">
      <alignment horizontal="center"/>
    </xf>
    <xf numFmtId="0" fontId="1" fillId="9" borderId="28" xfId="0" applyFont="1" applyFill="1" applyBorder="1"/>
    <xf numFmtId="0" fontId="1" fillId="9" borderId="34" xfId="0" applyNumberFormat="1" applyFont="1" applyFill="1" applyBorder="1" applyAlignment="1" applyProtection="1">
      <alignment horizontal="center"/>
      <protection locked="0"/>
    </xf>
    <xf numFmtId="167" fontId="1" fillId="9" borderId="35" xfId="4" applyNumberFormat="1" applyFont="1" applyFill="1" applyBorder="1" applyAlignment="1" applyProtection="1">
      <alignment horizontal="center"/>
      <protection locked="0"/>
    </xf>
    <xf numFmtId="167" fontId="1" fillId="9" borderId="36" xfId="4" applyNumberFormat="1" applyFont="1" applyFill="1" applyBorder="1" applyAlignment="1" applyProtection="1">
      <alignment horizontal="center"/>
      <protection locked="0"/>
    </xf>
    <xf numFmtId="0" fontId="1" fillId="9" borderId="37" xfId="0" applyFont="1" applyFill="1" applyBorder="1" applyAlignment="1" applyProtection="1">
      <alignment horizontal="center"/>
      <protection locked="0"/>
    </xf>
    <xf numFmtId="167" fontId="1" fillId="9" borderId="38" xfId="4" applyNumberFormat="1" applyFont="1" applyFill="1" applyBorder="1" applyAlignment="1" applyProtection="1">
      <alignment horizontal="center"/>
      <protection locked="0"/>
    </xf>
    <xf numFmtId="0" fontId="0" fillId="9" borderId="0" xfId="0" applyFill="1"/>
    <xf numFmtId="167" fontId="3" fillId="15" borderId="7" xfId="0" applyNumberFormat="1" applyFont="1" applyFill="1" applyBorder="1" applyAlignment="1">
      <alignment vertical="center"/>
    </xf>
    <xf numFmtId="167" fontId="3" fillId="0" borderId="0" xfId="4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justify"/>
    </xf>
    <xf numFmtId="0" fontId="1" fillId="0" borderId="2" xfId="0" applyFont="1" applyFill="1" applyBorder="1"/>
    <xf numFmtId="0" fontId="1" fillId="0" borderId="8" xfId="0" applyNumberFormat="1" applyFont="1" applyFill="1" applyBorder="1" applyAlignment="1" applyProtection="1">
      <alignment horizontal="center"/>
      <protection locked="0"/>
    </xf>
    <xf numFmtId="167" fontId="1" fillId="0" borderId="8" xfId="4" applyNumberFormat="1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167" fontId="1" fillId="0" borderId="14" xfId="4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7" fontId="3" fillId="16" borderId="4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justify"/>
    </xf>
    <xf numFmtId="0" fontId="1" fillId="10" borderId="39" xfId="0" applyFont="1" applyFill="1" applyBorder="1" applyProtection="1">
      <protection locked="0"/>
    </xf>
    <xf numFmtId="167" fontId="1" fillId="0" borderId="3" xfId="4" applyNumberFormat="1" applyFont="1" applyFill="1" applyBorder="1" applyAlignment="1" applyProtection="1">
      <alignment horizontal="center" shrinkToFit="1"/>
      <protection locked="0"/>
    </xf>
    <xf numFmtId="164" fontId="1" fillId="0" borderId="18" xfId="5" applyNumberFormat="1" applyFont="1" applyFill="1" applyBorder="1" applyAlignment="1">
      <alignment horizontal="center" shrinkToFit="1"/>
    </xf>
    <xf numFmtId="164" fontId="1" fillId="0" borderId="0" xfId="5" applyNumberFormat="1" applyFont="1" applyFill="1" applyBorder="1" applyAlignment="1">
      <alignment horizontal="center" shrinkToFit="1"/>
    </xf>
    <xf numFmtId="167" fontId="3" fillId="5" borderId="40" xfId="0" applyNumberFormat="1" applyFont="1" applyFill="1" applyBorder="1" applyAlignment="1">
      <alignment vertical="center"/>
    </xf>
    <xf numFmtId="167" fontId="3" fillId="0" borderId="18" xfId="4" applyNumberFormat="1" applyFont="1" applyFill="1" applyBorder="1" applyAlignment="1">
      <alignment horizontal="center" vertical="center" shrinkToFit="1"/>
    </xf>
    <xf numFmtId="167" fontId="3" fillId="0" borderId="0" xfId="4" applyNumberFormat="1" applyFont="1" applyFill="1" applyBorder="1" applyAlignment="1">
      <alignment horizontal="center" vertical="center" shrinkToFit="1"/>
    </xf>
    <xf numFmtId="167" fontId="3" fillId="3" borderId="4" xfId="4" applyNumberFormat="1" applyFont="1" applyFill="1" applyBorder="1" applyAlignment="1">
      <alignment horizontal="center" vertical="center" shrinkToFit="1"/>
    </xf>
    <xf numFmtId="0" fontId="1" fillId="11" borderId="8" xfId="0" applyFont="1" applyFill="1" applyBorder="1"/>
    <xf numFmtId="10" fontId="1" fillId="12" borderId="8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/>
    <xf numFmtId="167" fontId="1" fillId="0" borderId="0" xfId="4" applyNumberFormat="1" applyFont="1"/>
    <xf numFmtId="10" fontId="1" fillId="0" borderId="0" xfId="0" applyNumberFormat="1" applyFont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3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7" fontId="17" fillId="0" borderId="0" xfId="4" applyNumberFormat="1" applyFont="1" applyFill="1" applyBorder="1" applyAlignment="1">
      <alignment horizontal="center" vertical="center"/>
    </xf>
    <xf numFmtId="0" fontId="1" fillId="0" borderId="3" xfId="1" applyFont="1" applyFill="1" applyBorder="1" applyProtection="1">
      <protection locked="0"/>
    </xf>
    <xf numFmtId="44" fontId="0" fillId="10" borderId="0" xfId="4" applyFont="1" applyFill="1"/>
    <xf numFmtId="0" fontId="1" fillId="0" borderId="4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167" fontId="1" fillId="0" borderId="9" xfId="4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14" fillId="0" borderId="0" xfId="0" applyNumberFormat="1" applyFont="1"/>
    <xf numFmtId="0" fontId="14" fillId="0" borderId="4" xfId="0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>
      <alignment horizontal="center"/>
    </xf>
    <xf numFmtId="44" fontId="1" fillId="0" borderId="4" xfId="4" applyFont="1" applyBorder="1" applyAlignment="1">
      <alignment horizontal="center" vertical="center"/>
    </xf>
    <xf numFmtId="44" fontId="3" fillId="9" borderId="4" xfId="0" applyNumberFormat="1" applyFont="1" applyFill="1" applyBorder="1"/>
    <xf numFmtId="44" fontId="3" fillId="10" borderId="0" xfId="0" applyNumberFormat="1" applyFont="1" applyFill="1"/>
    <xf numFmtId="44" fontId="21" fillId="10" borderId="4" xfId="0" applyNumberFormat="1" applyFont="1" applyFill="1" applyBorder="1"/>
    <xf numFmtId="164" fontId="1" fillId="4" borderId="9" xfId="3" applyFont="1" applyFill="1" applyBorder="1" applyAlignment="1" applyProtection="1">
      <alignment horizontal="center"/>
      <protection locked="0"/>
    </xf>
    <xf numFmtId="164" fontId="1" fillId="3" borderId="9" xfId="1" applyNumberFormat="1" applyFont="1" applyFill="1" applyBorder="1" applyAlignment="1" applyProtection="1">
      <alignment horizontal="center"/>
    </xf>
    <xf numFmtId="0" fontId="1" fillId="4" borderId="9" xfId="1" applyFont="1" applyFill="1" applyBorder="1" applyAlignment="1" applyProtection="1">
      <alignment horizontal="center"/>
      <protection locked="0"/>
    </xf>
    <xf numFmtId="164" fontId="1" fillId="3" borderId="13" xfId="3" applyFont="1" applyFill="1" applyBorder="1" applyAlignment="1" applyProtection="1">
      <alignment horizontal="center"/>
    </xf>
    <xf numFmtId="43" fontId="2" fillId="0" borderId="0" xfId="1" applyNumberFormat="1" applyFont="1"/>
    <xf numFmtId="43" fontId="2" fillId="0" borderId="0" xfId="1" applyNumberFormat="1" applyFont="1" applyAlignment="1">
      <alignment horizontal="center" vertical="center"/>
    </xf>
    <xf numFmtId="44" fontId="3" fillId="2" borderId="4" xfId="4" applyFont="1" applyFill="1" applyBorder="1" applyAlignment="1">
      <alignment horizontal="left"/>
    </xf>
    <xf numFmtId="0" fontId="1" fillId="0" borderId="2" xfId="1" applyFont="1" applyBorder="1"/>
    <xf numFmtId="10" fontId="3" fillId="5" borderId="4" xfId="2" applyNumberFormat="1" applyFont="1" applyFill="1" applyBorder="1" applyAlignment="1" applyProtection="1">
      <alignment vertical="center"/>
    </xf>
    <xf numFmtId="164" fontId="1" fillId="0" borderId="0" xfId="1" applyNumberFormat="1"/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7" fontId="17" fillId="3" borderId="4" xfId="4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7" fontId="3" fillId="5" borderId="5" xfId="4" applyNumberFormat="1" applyFont="1" applyFill="1" applyBorder="1" applyAlignment="1">
      <alignment horizontal="center" vertical="center"/>
    </xf>
    <xf numFmtId="167" fontId="3" fillId="5" borderId="7" xfId="4" applyNumberFormat="1" applyFont="1" applyFill="1" applyBorder="1" applyAlignment="1">
      <alignment horizontal="center" vertical="center"/>
    </xf>
    <xf numFmtId="167" fontId="3" fillId="0" borderId="18" xfId="4" applyNumberFormat="1" applyFont="1" applyFill="1" applyBorder="1" applyAlignment="1">
      <alignment horizontal="center" vertical="center" shrinkToFit="1"/>
    </xf>
    <xf numFmtId="167" fontId="3" fillId="0" borderId="0" xfId="4" applyNumberFormat="1" applyFont="1" applyFill="1" applyBorder="1" applyAlignment="1">
      <alignment horizontal="center" vertical="center" shrinkToFit="1"/>
    </xf>
    <xf numFmtId="167" fontId="3" fillId="5" borderId="4" xfId="4" applyNumberFormat="1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167" fontId="3" fillId="5" borderId="5" xfId="0" applyNumberFormat="1" applyFont="1" applyFill="1" applyBorder="1" applyAlignment="1">
      <alignment horizontal="center" vertical="center"/>
    </xf>
    <xf numFmtId="167" fontId="3" fillId="5" borderId="7" xfId="0" applyNumberFormat="1" applyFont="1" applyFill="1" applyBorder="1" applyAlignment="1">
      <alignment horizontal="center" vertical="center"/>
    </xf>
    <xf numFmtId="167" fontId="3" fillId="3" borderId="5" xfId="4" applyNumberFormat="1" applyFont="1" applyFill="1" applyBorder="1" applyAlignment="1">
      <alignment horizontal="center" vertical="center" shrinkToFit="1"/>
    </xf>
    <xf numFmtId="167" fontId="3" fillId="3" borderId="6" xfId="4" applyNumberFormat="1" applyFont="1" applyFill="1" applyBorder="1" applyAlignment="1">
      <alignment horizontal="center" vertical="center" shrinkToFit="1"/>
    </xf>
    <xf numFmtId="167" fontId="3" fillId="3" borderId="7" xfId="4" applyNumberFormat="1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</cellXfs>
  <cellStyles count="6">
    <cellStyle name="Moeda" xfId="4" builtinId="4"/>
    <cellStyle name="Normal" xfId="0" builtinId="0"/>
    <cellStyle name="Normal 2" xfId="1"/>
    <cellStyle name="Porcentagem 2" xfId="2"/>
    <cellStyle name="Vírgula" xfId="5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showGridLines="0" tabSelected="1" view="pageBreakPreview" topLeftCell="A106" zoomScaleNormal="100" zoomScaleSheetLayoutView="100" workbookViewId="0">
      <selection activeCell="L113" sqref="L113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6.140625" customWidth="1"/>
    <col min="6" max="6" width="12" customWidth="1"/>
  </cols>
  <sheetData>
    <row r="1" spans="1:5" ht="7.5" customHeight="1" thickBot="1" x14ac:dyDescent="0.3"/>
    <row r="2" spans="1:5" ht="24.75" customHeight="1" thickBot="1" x14ac:dyDescent="0.3">
      <c r="A2" s="311" t="s">
        <v>64</v>
      </c>
      <c r="B2" s="312"/>
      <c r="C2" s="312"/>
      <c r="D2" s="312"/>
      <c r="E2" s="313"/>
    </row>
    <row r="4" spans="1:5" x14ac:dyDescent="0.25">
      <c r="A4" s="56" t="s">
        <v>0</v>
      </c>
      <c r="B4" s="54" t="s">
        <v>1</v>
      </c>
      <c r="C4" s="54"/>
      <c r="D4" s="54"/>
      <c r="E4" s="54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</row>
    <row r="8" spans="1:5" x14ac:dyDescent="0.25">
      <c r="A8" s="99" t="s">
        <v>66</v>
      </c>
      <c r="B8" s="35">
        <v>60</v>
      </c>
      <c r="C8" s="36">
        <v>366.79</v>
      </c>
      <c r="D8" s="37">
        <v>1</v>
      </c>
      <c r="E8" s="65">
        <f t="shared" ref="E8:E9" si="0">C8*B8*D8</f>
        <v>22007.4</v>
      </c>
    </row>
    <row r="9" spans="1:5" x14ac:dyDescent="0.25">
      <c r="A9" s="99" t="s">
        <v>104</v>
      </c>
      <c r="B9" s="35">
        <v>60</v>
      </c>
      <c r="C9" s="36">
        <v>226.52</v>
      </c>
      <c r="D9" s="37">
        <v>1</v>
      </c>
      <c r="E9" s="65">
        <f t="shared" si="0"/>
        <v>13591.2</v>
      </c>
    </row>
    <row r="10" spans="1:5" x14ac:dyDescent="0.25">
      <c r="A10" s="99" t="s">
        <v>67</v>
      </c>
      <c r="B10" s="35">
        <v>15</v>
      </c>
      <c r="C10" s="36">
        <v>502.12947956363644</v>
      </c>
      <c r="D10" s="37">
        <v>2</v>
      </c>
      <c r="E10" s="65">
        <f t="shared" ref="E10" si="1">C10*B10*D10</f>
        <v>15063.884386909092</v>
      </c>
    </row>
    <row r="11" spans="1:5" x14ac:dyDescent="0.25">
      <c r="A11" s="99" t="s">
        <v>68</v>
      </c>
      <c r="B11" s="35">
        <v>15</v>
      </c>
      <c r="C11" s="36">
        <v>273.96862133333337</v>
      </c>
      <c r="D11" s="37">
        <v>1</v>
      </c>
      <c r="E11" s="65">
        <f>C11*B11*D11</f>
        <v>4109.5293200000006</v>
      </c>
    </row>
    <row r="12" spans="1:5" x14ac:dyDescent="0.25">
      <c r="A12" s="99" t="s">
        <v>76</v>
      </c>
      <c r="B12" s="35">
        <v>15</v>
      </c>
      <c r="C12" s="36">
        <v>231.80490666666665</v>
      </c>
      <c r="D12" s="37">
        <v>1</v>
      </c>
      <c r="E12" s="65">
        <f t="shared" ref="E12:E19" si="2">C12*B12*D12</f>
        <v>3477.0735999999997</v>
      </c>
    </row>
    <row r="13" spans="1:5" x14ac:dyDescent="0.25">
      <c r="A13" s="99" t="s">
        <v>69</v>
      </c>
      <c r="B13" s="35">
        <v>15</v>
      </c>
      <c r="C13" s="36">
        <v>921.63413333333335</v>
      </c>
      <c r="D13" s="37">
        <v>1</v>
      </c>
      <c r="E13" s="65">
        <f t="shared" si="2"/>
        <v>13824.512000000001</v>
      </c>
    </row>
    <row r="14" spans="1:5" x14ac:dyDescent="0.25">
      <c r="A14" s="99" t="s">
        <v>75</v>
      </c>
      <c r="B14" s="35">
        <v>15</v>
      </c>
      <c r="C14" s="36">
        <v>461.33013333333332</v>
      </c>
      <c r="D14" s="37">
        <v>2</v>
      </c>
      <c r="E14" s="65">
        <f t="shared" si="2"/>
        <v>13839.904</v>
      </c>
    </row>
    <row r="15" spans="1:5" x14ac:dyDescent="0.25">
      <c r="A15" s="34" t="s">
        <v>70</v>
      </c>
      <c r="B15" s="35">
        <v>15</v>
      </c>
      <c r="C15" s="36">
        <v>263.17527253333333</v>
      </c>
      <c r="D15" s="37">
        <v>12</v>
      </c>
      <c r="E15" s="65">
        <f t="shared" si="2"/>
        <v>47371.549055999996</v>
      </c>
    </row>
    <row r="16" spans="1:5" x14ac:dyDescent="0.25">
      <c r="A16" s="34" t="s">
        <v>71</v>
      </c>
      <c r="B16" s="35">
        <v>15</v>
      </c>
      <c r="C16" s="36">
        <v>137.47144572121215</v>
      </c>
      <c r="D16" s="37">
        <v>14</v>
      </c>
      <c r="E16" s="65">
        <f t="shared" si="2"/>
        <v>28869.003601454551</v>
      </c>
    </row>
    <row r="17" spans="1:5" x14ac:dyDescent="0.25">
      <c r="A17" s="34" t="s">
        <v>72</v>
      </c>
      <c r="B17" s="35">
        <v>15</v>
      </c>
      <c r="C17" s="36">
        <v>235.9876322424243</v>
      </c>
      <c r="D17" s="37">
        <v>6</v>
      </c>
      <c r="E17" s="65">
        <f t="shared" si="2"/>
        <v>21238.886901818187</v>
      </c>
    </row>
    <row r="18" spans="1:5" x14ac:dyDescent="0.25">
      <c r="A18" s="34" t="s">
        <v>73</v>
      </c>
      <c r="B18" s="35">
        <v>15</v>
      </c>
      <c r="C18" s="36">
        <v>246.94730666666666</v>
      </c>
      <c r="D18" s="37">
        <v>2</v>
      </c>
      <c r="E18" s="65">
        <f t="shared" si="2"/>
        <v>7408.4192000000003</v>
      </c>
    </row>
    <row r="19" spans="1:5" x14ac:dyDescent="0.25">
      <c r="A19" s="99" t="s">
        <v>74</v>
      </c>
      <c r="B19" s="35">
        <v>15</v>
      </c>
      <c r="C19" s="36">
        <v>246.94730666666666</v>
      </c>
      <c r="D19" s="37">
        <v>2</v>
      </c>
      <c r="E19" s="65">
        <f t="shared" si="2"/>
        <v>7408.4192000000003</v>
      </c>
    </row>
    <row r="20" spans="1:5" x14ac:dyDescent="0.25">
      <c r="A20" s="34"/>
      <c r="B20" s="35"/>
      <c r="C20" s="36"/>
      <c r="D20" s="37"/>
      <c r="E20" s="65">
        <f t="shared" ref="E20:E22" si="3">C20*B20*D20</f>
        <v>0</v>
      </c>
    </row>
    <row r="21" spans="1:5" x14ac:dyDescent="0.25">
      <c r="A21" s="34"/>
      <c r="B21" s="35"/>
      <c r="C21" s="36"/>
      <c r="D21" s="37"/>
      <c r="E21" s="65">
        <f t="shared" si="3"/>
        <v>0</v>
      </c>
    </row>
    <row r="22" spans="1:5" x14ac:dyDescent="0.25">
      <c r="A22" s="34"/>
      <c r="B22" s="35"/>
      <c r="C22" s="36"/>
      <c r="D22" s="107"/>
      <c r="E22" s="108">
        <f t="shared" si="3"/>
        <v>0</v>
      </c>
    </row>
    <row r="23" spans="1:5" x14ac:dyDescent="0.25">
      <c r="A23" s="24" t="s">
        <v>8</v>
      </c>
      <c r="B23" s="22"/>
      <c r="C23" s="23"/>
      <c r="D23" s="25"/>
      <c r="E23" s="66">
        <f>SUM(E8:E22)</f>
        <v>198209.78126618185</v>
      </c>
    </row>
    <row r="24" spans="1:5" x14ac:dyDescent="0.25">
      <c r="A24" s="62" t="s">
        <v>9</v>
      </c>
      <c r="B24" s="63"/>
      <c r="C24" s="63"/>
      <c r="D24" s="64"/>
      <c r="E24" s="67">
        <f>E23*30%</f>
        <v>59462.934379854552</v>
      </c>
    </row>
    <row r="25" spans="1:5" x14ac:dyDescent="0.25">
      <c r="A25" s="19"/>
      <c r="B25" s="3"/>
      <c r="C25" s="21"/>
      <c r="D25" s="20"/>
      <c r="E25" s="20"/>
    </row>
    <row r="26" spans="1:5" x14ac:dyDescent="0.25">
      <c r="A26" s="2"/>
      <c r="B26" s="2"/>
      <c r="C26" s="89"/>
      <c r="D26" s="89" t="s">
        <v>10</v>
      </c>
      <c r="E26" s="90">
        <f>E23+E24</f>
        <v>257672.71564603641</v>
      </c>
    </row>
    <row r="27" spans="1:5" x14ac:dyDescent="0.25">
      <c r="A27" s="2"/>
      <c r="B27" s="2"/>
      <c r="C27" s="2"/>
      <c r="D27" s="2"/>
      <c r="E27" s="2"/>
    </row>
    <row r="28" spans="1:5" x14ac:dyDescent="0.25">
      <c r="A28" s="6" t="s">
        <v>11</v>
      </c>
      <c r="B28" s="2"/>
      <c r="C28" s="2"/>
      <c r="D28" s="2"/>
    </row>
    <row r="29" spans="1:5" x14ac:dyDescent="0.25">
      <c r="A29" s="44" t="s">
        <v>12</v>
      </c>
      <c r="B29" s="44" t="s">
        <v>13</v>
      </c>
      <c r="C29" s="44" t="s">
        <v>14</v>
      </c>
      <c r="D29" s="7"/>
    </row>
    <row r="30" spans="1:5" x14ac:dyDescent="0.25">
      <c r="A30" s="81"/>
      <c r="B30" s="81"/>
      <c r="C30" s="81"/>
      <c r="D30" s="1"/>
    </row>
    <row r="31" spans="1:5" x14ac:dyDescent="0.25">
      <c r="A31" s="82" t="s">
        <v>15</v>
      </c>
      <c r="B31" s="309">
        <v>0.85</v>
      </c>
      <c r="C31" s="84">
        <f>E26*B31</f>
        <v>219021.80829913093</v>
      </c>
      <c r="D31" s="8"/>
      <c r="E31" s="2"/>
    </row>
    <row r="32" spans="1:5" x14ac:dyDescent="0.25">
      <c r="A32" s="2"/>
      <c r="B32" s="7"/>
      <c r="C32" s="2"/>
      <c r="D32" s="2"/>
      <c r="E32" s="2"/>
    </row>
    <row r="33" spans="1:5" x14ac:dyDescent="0.25">
      <c r="A33" s="9"/>
      <c r="B33" s="2"/>
      <c r="C33" s="91"/>
      <c r="D33" s="92" t="s">
        <v>16</v>
      </c>
      <c r="E33" s="93">
        <f>E26+C31</f>
        <v>476694.52394516731</v>
      </c>
    </row>
    <row r="34" spans="1:5" x14ac:dyDescent="0.25">
      <c r="A34" s="30" t="s">
        <v>17</v>
      </c>
      <c r="B34" s="2"/>
      <c r="C34" s="2"/>
      <c r="D34" s="2"/>
      <c r="E34" s="2"/>
    </row>
    <row r="35" spans="1:5" ht="25.5" x14ac:dyDescent="0.25">
      <c r="A35" s="33" t="s">
        <v>18</v>
      </c>
      <c r="B35" s="49" t="s">
        <v>19</v>
      </c>
      <c r="C35" s="49" t="s">
        <v>20</v>
      </c>
      <c r="D35" s="83" t="s">
        <v>21</v>
      </c>
      <c r="E35" s="2"/>
    </row>
    <row r="36" spans="1:5" x14ac:dyDescent="0.25">
      <c r="A36" s="41" t="s">
        <v>77</v>
      </c>
      <c r="B36" s="42">
        <v>1</v>
      </c>
      <c r="C36" s="43">
        <v>1400</v>
      </c>
      <c r="D36" s="69">
        <f>C36*B36</f>
        <v>1400</v>
      </c>
      <c r="E36" s="2"/>
    </row>
    <row r="37" spans="1:5" x14ac:dyDescent="0.25">
      <c r="A37" s="41" t="s">
        <v>78</v>
      </c>
      <c r="B37" s="42">
        <v>1</v>
      </c>
      <c r="C37" s="43">
        <v>1100</v>
      </c>
      <c r="D37" s="69">
        <f t="shared" ref="D37:D53" si="4">C37*B37</f>
        <v>1100</v>
      </c>
      <c r="E37" s="2"/>
    </row>
    <row r="38" spans="1:5" x14ac:dyDescent="0.25">
      <c r="A38" s="102" t="s">
        <v>79</v>
      </c>
      <c r="B38" s="42">
        <v>8</v>
      </c>
      <c r="C38" s="43">
        <v>600</v>
      </c>
      <c r="D38" s="69">
        <f t="shared" si="4"/>
        <v>4800</v>
      </c>
      <c r="E38" s="2"/>
    </row>
    <row r="39" spans="1:5" x14ac:dyDescent="0.25">
      <c r="A39" s="41" t="s">
        <v>80</v>
      </c>
      <c r="B39" s="42">
        <v>1</v>
      </c>
      <c r="C39" s="43">
        <f>110*1.2</f>
        <v>132</v>
      </c>
      <c r="D39" s="69">
        <f t="shared" si="4"/>
        <v>132</v>
      </c>
      <c r="E39" s="2"/>
    </row>
    <row r="40" spans="1:5" x14ac:dyDescent="0.25">
      <c r="A40" s="41" t="s">
        <v>81</v>
      </c>
      <c r="B40" s="42">
        <v>1</v>
      </c>
      <c r="C40" s="43">
        <f>110*1.2</f>
        <v>132</v>
      </c>
      <c r="D40" s="69">
        <f t="shared" si="4"/>
        <v>132</v>
      </c>
      <c r="E40" s="2"/>
    </row>
    <row r="41" spans="1:5" x14ac:dyDescent="0.25">
      <c r="A41" s="41" t="s">
        <v>82</v>
      </c>
      <c r="B41" s="42">
        <v>4</v>
      </c>
      <c r="C41" s="43">
        <f>250*1.2</f>
        <v>300</v>
      </c>
      <c r="D41" s="69">
        <f t="shared" si="4"/>
        <v>1200</v>
      </c>
      <c r="E41" s="2"/>
    </row>
    <row r="42" spans="1:5" x14ac:dyDescent="0.25">
      <c r="A42" s="41" t="s">
        <v>85</v>
      </c>
      <c r="B42" s="42" t="s">
        <v>83</v>
      </c>
      <c r="C42" s="43">
        <f>6*(700)</f>
        <v>4200</v>
      </c>
      <c r="D42" s="69">
        <f>C42</f>
        <v>4200</v>
      </c>
      <c r="E42" s="2"/>
    </row>
    <row r="43" spans="1:5" x14ac:dyDescent="0.25">
      <c r="A43" s="102" t="s">
        <v>86</v>
      </c>
      <c r="B43" s="42">
        <v>8</v>
      </c>
      <c r="C43" s="43">
        <v>800</v>
      </c>
      <c r="D43" s="69">
        <f t="shared" si="4"/>
        <v>6400</v>
      </c>
      <c r="E43" s="2"/>
    </row>
    <row r="44" spans="1:5" x14ac:dyDescent="0.25">
      <c r="A44" s="41" t="s">
        <v>87</v>
      </c>
      <c r="B44" s="42">
        <v>30</v>
      </c>
      <c r="C44" s="43">
        <f>128.4*1.2</f>
        <v>154.08000000000001</v>
      </c>
      <c r="D44" s="69">
        <f t="shared" si="4"/>
        <v>4622.4000000000005</v>
      </c>
      <c r="E44" s="2"/>
    </row>
    <row r="45" spans="1:5" x14ac:dyDescent="0.25">
      <c r="A45" s="102" t="s">
        <v>175</v>
      </c>
      <c r="B45" s="106">
        <v>1</v>
      </c>
      <c r="C45" s="301">
        <f>7000*1.2</f>
        <v>8400</v>
      </c>
      <c r="D45" s="302">
        <f t="shared" si="4"/>
        <v>8400</v>
      </c>
      <c r="E45" s="2"/>
    </row>
    <row r="46" spans="1:5" x14ac:dyDescent="0.25">
      <c r="A46" s="102" t="s">
        <v>88</v>
      </c>
      <c r="B46" s="106">
        <v>5</v>
      </c>
      <c r="C46" s="301">
        <f>2290*2</f>
        <v>4580</v>
      </c>
      <c r="D46" s="302">
        <f t="shared" si="4"/>
        <v>22900</v>
      </c>
      <c r="E46" s="2"/>
    </row>
    <row r="47" spans="1:5" x14ac:dyDescent="0.25">
      <c r="A47" s="102" t="s">
        <v>89</v>
      </c>
      <c r="B47" s="106" t="s">
        <v>168</v>
      </c>
      <c r="C47" s="301">
        <v>8500</v>
      </c>
      <c r="D47" s="302">
        <f>C47</f>
        <v>8500</v>
      </c>
      <c r="E47" s="2"/>
    </row>
    <row r="48" spans="1:5" x14ac:dyDescent="0.25">
      <c r="A48" s="102" t="s">
        <v>90</v>
      </c>
      <c r="B48" s="106">
        <v>6</v>
      </c>
      <c r="C48" s="301">
        <v>800</v>
      </c>
      <c r="D48" s="302">
        <f t="shared" si="4"/>
        <v>4800</v>
      </c>
      <c r="E48" s="2"/>
    </row>
    <row r="49" spans="1:5" x14ac:dyDescent="0.25">
      <c r="A49" s="102" t="s">
        <v>91</v>
      </c>
      <c r="B49" s="106">
        <v>1</v>
      </c>
      <c r="C49" s="301">
        <v>500</v>
      </c>
      <c r="D49" s="302">
        <f t="shared" si="4"/>
        <v>500</v>
      </c>
      <c r="E49" s="2"/>
    </row>
    <row r="50" spans="1:5" x14ac:dyDescent="0.25">
      <c r="A50" s="102" t="s">
        <v>169</v>
      </c>
      <c r="B50" s="106">
        <v>1</v>
      </c>
      <c r="C50" s="301">
        <v>380</v>
      </c>
      <c r="D50" s="302">
        <f t="shared" si="4"/>
        <v>380</v>
      </c>
      <c r="E50" s="2"/>
    </row>
    <row r="51" spans="1:5" x14ac:dyDescent="0.25">
      <c r="A51" s="102" t="s">
        <v>170</v>
      </c>
      <c r="B51" s="106">
        <v>1</v>
      </c>
      <c r="C51" s="301">
        <v>480</v>
      </c>
      <c r="D51" s="302">
        <f t="shared" si="4"/>
        <v>480</v>
      </c>
      <c r="E51" s="2"/>
    </row>
    <row r="52" spans="1:5" x14ac:dyDescent="0.25">
      <c r="A52" s="102" t="s">
        <v>171</v>
      </c>
      <c r="B52" s="106">
        <v>1</v>
      </c>
      <c r="C52" s="301">
        <v>480</v>
      </c>
      <c r="D52" s="302">
        <f t="shared" si="4"/>
        <v>480</v>
      </c>
      <c r="E52" s="2"/>
    </row>
    <row r="53" spans="1:5" x14ac:dyDescent="0.25">
      <c r="A53" s="41"/>
      <c r="B53" s="42"/>
      <c r="C53" s="43"/>
      <c r="D53" s="69">
        <f t="shared" si="4"/>
        <v>0</v>
      </c>
    </row>
    <row r="54" spans="1:5" x14ac:dyDescent="0.25">
      <c r="A54" s="5"/>
      <c r="B54" s="2"/>
      <c r="C54" s="55" t="s">
        <v>22</v>
      </c>
      <c r="D54" s="68">
        <f>SUM(D36:D53)</f>
        <v>70426.399999999994</v>
      </c>
    </row>
    <row r="55" spans="1:5" x14ac:dyDescent="0.25">
      <c r="A55" s="30" t="s">
        <v>23</v>
      </c>
      <c r="B55" s="2"/>
      <c r="C55" s="2"/>
      <c r="D55" s="2"/>
    </row>
    <row r="56" spans="1:5" ht="25.5" x14ac:dyDescent="0.25">
      <c r="A56" s="44" t="s">
        <v>18</v>
      </c>
      <c r="B56" s="45" t="s">
        <v>19</v>
      </c>
      <c r="C56" s="38" t="s">
        <v>20</v>
      </c>
      <c r="D56" s="83" t="s">
        <v>21</v>
      </c>
    </row>
    <row r="57" spans="1:5" x14ac:dyDescent="0.25">
      <c r="A57" s="31" t="s">
        <v>24</v>
      </c>
      <c r="B57" s="104" t="s">
        <v>83</v>
      </c>
      <c r="C57" s="43">
        <f>2800*1.2</f>
        <v>3360</v>
      </c>
      <c r="D57" s="70">
        <f>C57</f>
        <v>3360</v>
      </c>
    </row>
    <row r="58" spans="1:5" x14ac:dyDescent="0.25">
      <c r="A58" s="61" t="s">
        <v>25</v>
      </c>
      <c r="B58" s="106" t="s">
        <v>83</v>
      </c>
      <c r="C58" s="43">
        <v>4500</v>
      </c>
      <c r="D58" s="71">
        <f>C58</f>
        <v>4500</v>
      </c>
    </row>
    <row r="59" spans="1:5" x14ac:dyDescent="0.25">
      <c r="A59" s="103" t="s">
        <v>84</v>
      </c>
      <c r="B59" s="105" t="s">
        <v>83</v>
      </c>
      <c r="C59" s="43">
        <v>4000</v>
      </c>
      <c r="D59" s="69">
        <f>C59</f>
        <v>4000</v>
      </c>
    </row>
    <row r="60" spans="1:5" x14ac:dyDescent="0.25">
      <c r="A60" s="18"/>
      <c r="B60" s="42"/>
      <c r="C60" s="43"/>
      <c r="D60" s="71">
        <v>0</v>
      </c>
    </row>
    <row r="61" spans="1:5" x14ac:dyDescent="0.25">
      <c r="A61" s="5"/>
      <c r="B61" s="2"/>
      <c r="C61" s="55" t="s">
        <v>26</v>
      </c>
      <c r="D61" s="68">
        <f>SUM(D57:D60)</f>
        <v>11860</v>
      </c>
    </row>
    <row r="62" spans="1:5" x14ac:dyDescent="0.25">
      <c r="A62" s="6" t="s">
        <v>27</v>
      </c>
      <c r="B62" s="2"/>
      <c r="C62" s="2"/>
      <c r="D62" s="2"/>
    </row>
    <row r="63" spans="1:5" ht="25.5" x14ac:dyDescent="0.25">
      <c r="A63" s="33" t="s">
        <v>18</v>
      </c>
      <c r="B63" s="33" t="s">
        <v>28</v>
      </c>
      <c r="C63" s="33" t="s">
        <v>29</v>
      </c>
      <c r="D63" s="83" t="s">
        <v>21</v>
      </c>
    </row>
    <row r="64" spans="1:5" x14ac:dyDescent="0.25">
      <c r="A64" s="10" t="s">
        <v>30</v>
      </c>
      <c r="B64" s="46">
        <v>45</v>
      </c>
      <c r="C64" s="43">
        <v>450</v>
      </c>
      <c r="D64" s="73">
        <f>C64*B64+(750*2)</f>
        <v>21750</v>
      </c>
      <c r="E64" s="1"/>
    </row>
    <row r="65" spans="1:6" x14ac:dyDescent="0.25">
      <c r="A65" s="10" t="s">
        <v>92</v>
      </c>
      <c r="B65" s="46">
        <v>45</v>
      </c>
      <c r="C65" s="43">
        <v>500</v>
      </c>
      <c r="D65" s="73">
        <f t="shared" ref="D65:D75" si="5">C65*B65</f>
        <v>22500</v>
      </c>
      <c r="E65" s="1"/>
    </row>
    <row r="66" spans="1:6" x14ac:dyDescent="0.25">
      <c r="A66" s="10" t="s">
        <v>93</v>
      </c>
      <c r="B66" s="46">
        <v>45</v>
      </c>
      <c r="C66" s="43">
        <f>40.1*1.2</f>
        <v>48.12</v>
      </c>
      <c r="D66" s="73">
        <f t="shared" si="5"/>
        <v>2165.4</v>
      </c>
      <c r="E66" s="1"/>
    </row>
    <row r="67" spans="1:6" x14ac:dyDescent="0.25">
      <c r="A67" s="109" t="s">
        <v>102</v>
      </c>
      <c r="B67" s="46" t="s">
        <v>83</v>
      </c>
      <c r="C67" s="43">
        <f>(40*2*100)</f>
        <v>8000</v>
      </c>
      <c r="D67" s="73">
        <f t="shared" ref="D67" si="6">C67</f>
        <v>8000</v>
      </c>
      <c r="E67" s="1"/>
    </row>
    <row r="68" spans="1:6" x14ac:dyDescent="0.25">
      <c r="A68" s="109" t="s">
        <v>103</v>
      </c>
      <c r="B68" s="303" t="s">
        <v>168</v>
      </c>
      <c r="C68" s="301">
        <f>(0.5*45*470)+(0.5*45*235)</f>
        <v>15862.5</v>
      </c>
      <c r="D68" s="304">
        <f>C68</f>
        <v>15862.5</v>
      </c>
      <c r="E68" s="1"/>
    </row>
    <row r="69" spans="1:6" x14ac:dyDescent="0.25">
      <c r="A69" s="10" t="s">
        <v>94</v>
      </c>
      <c r="B69" s="46">
        <v>45</v>
      </c>
      <c r="C69" s="43">
        <f>452*1.04</f>
        <v>470.08000000000004</v>
      </c>
      <c r="D69" s="73">
        <f t="shared" si="5"/>
        <v>21153.600000000002</v>
      </c>
      <c r="E69" s="1"/>
    </row>
    <row r="70" spans="1:6" x14ac:dyDescent="0.25">
      <c r="A70" s="10" t="s">
        <v>95</v>
      </c>
      <c r="B70" s="46" t="s">
        <v>83</v>
      </c>
      <c r="C70" s="43">
        <f>45*1.5*20*4</f>
        <v>5400</v>
      </c>
      <c r="D70" s="73">
        <f t="shared" ref="D70" si="7">C70</f>
        <v>5400</v>
      </c>
      <c r="E70" s="1"/>
    </row>
    <row r="71" spans="1:6" x14ac:dyDescent="0.25">
      <c r="A71" s="109" t="s">
        <v>96</v>
      </c>
      <c r="B71" s="303" t="s">
        <v>83</v>
      </c>
      <c r="C71" s="301">
        <v>24000</v>
      </c>
      <c r="D71" s="304">
        <f>C71</f>
        <v>24000</v>
      </c>
      <c r="E71" s="1"/>
    </row>
    <row r="72" spans="1:6" x14ac:dyDescent="0.25">
      <c r="A72" s="109" t="s">
        <v>97</v>
      </c>
      <c r="B72" s="303" t="s">
        <v>83</v>
      </c>
      <c r="C72" s="301">
        <f>19000+15000</f>
        <v>34000</v>
      </c>
      <c r="D72" s="304">
        <f>C72</f>
        <v>34000</v>
      </c>
      <c r="E72" s="310"/>
      <c r="F72" s="1"/>
    </row>
    <row r="73" spans="1:6" x14ac:dyDescent="0.25">
      <c r="A73" s="286" t="s">
        <v>174</v>
      </c>
      <c r="B73" s="303" t="s">
        <v>83</v>
      </c>
      <c r="C73" s="301">
        <f>(21621.32)</f>
        <v>21621.32</v>
      </c>
      <c r="D73" s="304">
        <f>C73</f>
        <v>21621.32</v>
      </c>
      <c r="E73" s="1"/>
    </row>
    <row r="74" spans="1:6" x14ac:dyDescent="0.25">
      <c r="A74" s="286" t="s">
        <v>167</v>
      </c>
      <c r="B74" s="303" t="s">
        <v>83</v>
      </c>
      <c r="C74" s="301">
        <v>75570.009999999995</v>
      </c>
      <c r="D74" s="304">
        <f>C74</f>
        <v>75570.009999999995</v>
      </c>
      <c r="E74" s="1"/>
    </row>
    <row r="75" spans="1:6" x14ac:dyDescent="0.25">
      <c r="A75" s="286"/>
      <c r="B75" s="46"/>
      <c r="C75" s="43"/>
      <c r="D75" s="73">
        <f t="shared" si="5"/>
        <v>0</v>
      </c>
      <c r="E75" s="1"/>
    </row>
    <row r="76" spans="1:6" x14ac:dyDescent="0.25">
      <c r="A76" s="1"/>
      <c r="B76" s="58" t="s">
        <v>31</v>
      </c>
      <c r="C76" s="59"/>
      <c r="D76" s="68">
        <f>SUM(D64:D75)</f>
        <v>252022.83000000002</v>
      </c>
      <c r="E76" s="1"/>
    </row>
    <row r="77" spans="1:6" x14ac:dyDescent="0.25">
      <c r="A77" s="1"/>
      <c r="B77" s="1"/>
      <c r="C77" s="1"/>
      <c r="D77" s="1"/>
      <c r="E77" s="1"/>
    </row>
    <row r="78" spans="1:6" x14ac:dyDescent="0.25">
      <c r="A78" s="1"/>
      <c r="B78" s="95" t="s">
        <v>32</v>
      </c>
      <c r="C78" s="96"/>
      <c r="D78" s="97"/>
      <c r="E78" s="98">
        <f>E33+D54+D61+D76</f>
        <v>811003.75394516741</v>
      </c>
    </row>
    <row r="79" spans="1:6" x14ac:dyDescent="0.25">
      <c r="A79" s="56" t="s">
        <v>33</v>
      </c>
      <c r="B79" s="57"/>
      <c r="C79" s="57"/>
      <c r="D79" s="57"/>
      <c r="E79" s="57"/>
    </row>
    <row r="80" spans="1:6" x14ac:dyDescent="0.25">
      <c r="A80" s="2"/>
      <c r="B80" s="2"/>
      <c r="C80" s="2"/>
      <c r="D80" s="2"/>
      <c r="E80" s="2"/>
    </row>
    <row r="81" spans="1:5" ht="38.25" x14ac:dyDescent="0.25">
      <c r="A81" s="49" t="s">
        <v>18</v>
      </c>
      <c r="B81" s="49" t="s">
        <v>34</v>
      </c>
      <c r="C81" s="49" t="s">
        <v>35</v>
      </c>
      <c r="D81" s="83" t="s">
        <v>21</v>
      </c>
      <c r="E81" s="2"/>
    </row>
    <row r="82" spans="1:5" x14ac:dyDescent="0.25">
      <c r="A82" s="10" t="s">
        <v>98</v>
      </c>
      <c r="B82" s="47">
        <v>0.08</v>
      </c>
      <c r="C82" s="72">
        <f>B82*E78</f>
        <v>64880.300315613393</v>
      </c>
      <c r="D82" s="72">
        <f>C82</f>
        <v>64880.300315613393</v>
      </c>
      <c r="E82" s="2"/>
    </row>
    <row r="83" spans="1:5" x14ac:dyDescent="0.25">
      <c r="A83" s="10" t="s">
        <v>99</v>
      </c>
      <c r="B83" s="39">
        <v>0.01</v>
      </c>
      <c r="C83" s="74">
        <f>B83*E78</f>
        <v>8110.0375394516741</v>
      </c>
      <c r="D83" s="74">
        <f>C83</f>
        <v>8110.0375394516741</v>
      </c>
      <c r="E83" s="2"/>
    </row>
    <row r="84" spans="1:5" x14ac:dyDescent="0.25">
      <c r="A84" s="86" t="s">
        <v>100</v>
      </c>
      <c r="B84" s="48">
        <v>0.08</v>
      </c>
      <c r="C84" s="75">
        <f>B84*E78</f>
        <v>64880.300315613393</v>
      </c>
      <c r="D84" s="74">
        <f>C84</f>
        <v>64880.300315613393</v>
      </c>
      <c r="E84" s="2"/>
    </row>
    <row r="85" spans="1:5" x14ac:dyDescent="0.25">
      <c r="A85" s="87"/>
      <c r="B85" s="40"/>
      <c r="C85" s="76">
        <v>0</v>
      </c>
      <c r="D85" s="76">
        <v>0</v>
      </c>
      <c r="E85" s="2"/>
    </row>
    <row r="86" spans="1:5" x14ac:dyDescent="0.25">
      <c r="A86" s="14"/>
      <c r="B86" s="14"/>
      <c r="C86" s="60" t="s">
        <v>36</v>
      </c>
      <c r="D86" s="68">
        <f>SUM(D82:D85)</f>
        <v>137870.63817067846</v>
      </c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56" t="s">
        <v>37</v>
      </c>
      <c r="B88" s="57"/>
      <c r="C88" s="57"/>
      <c r="D88" s="57"/>
      <c r="E88" s="57"/>
    </row>
    <row r="89" spans="1:5" x14ac:dyDescent="0.25">
      <c r="A89" s="2"/>
      <c r="B89" s="2"/>
      <c r="C89" s="2"/>
      <c r="D89" s="2"/>
      <c r="E89" s="2"/>
    </row>
    <row r="90" spans="1:5" ht="25.5" x14ac:dyDescent="0.25">
      <c r="A90" s="49" t="s">
        <v>18</v>
      </c>
      <c r="B90" s="49" t="s">
        <v>38</v>
      </c>
      <c r="C90" s="49" t="s">
        <v>35</v>
      </c>
      <c r="D90" s="83" t="s">
        <v>21</v>
      </c>
      <c r="E90" s="2"/>
    </row>
    <row r="91" spans="1:5" x14ac:dyDescent="0.25">
      <c r="A91" s="308" t="s">
        <v>101</v>
      </c>
      <c r="B91" s="47">
        <v>7.6799999999999993E-2</v>
      </c>
      <c r="C91" s="72">
        <f>B91*E78</f>
        <v>62285.08830298885</v>
      </c>
      <c r="D91" s="72">
        <f>C91</f>
        <v>62285.08830298885</v>
      </c>
      <c r="E91" s="2"/>
    </row>
    <row r="92" spans="1:5" x14ac:dyDescent="0.25">
      <c r="A92" s="10"/>
      <c r="B92" s="39"/>
      <c r="C92" s="74">
        <v>0</v>
      </c>
      <c r="D92" s="74">
        <v>0</v>
      </c>
      <c r="E92" s="2"/>
    </row>
    <row r="93" spans="1:5" x14ac:dyDescent="0.25">
      <c r="A93" s="88"/>
      <c r="B93" s="51"/>
      <c r="C93" s="77">
        <v>0</v>
      </c>
      <c r="D93" s="77">
        <v>0</v>
      </c>
      <c r="E93" s="2"/>
    </row>
    <row r="94" spans="1:5" x14ac:dyDescent="0.25">
      <c r="A94" s="14"/>
      <c r="B94" s="58" t="s">
        <v>39</v>
      </c>
      <c r="C94" s="59"/>
      <c r="D94" s="68">
        <f>SUM(D91:D93)</f>
        <v>62285.08830298885</v>
      </c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56" t="s">
        <v>40</v>
      </c>
      <c r="B96" s="57"/>
      <c r="C96" s="57"/>
      <c r="D96" s="57"/>
      <c r="E96" s="57"/>
    </row>
    <row r="97" spans="1:5" x14ac:dyDescent="0.25">
      <c r="A97" s="2"/>
      <c r="B97" s="2"/>
      <c r="C97" s="2"/>
      <c r="D97" s="2"/>
      <c r="E97" s="2"/>
    </row>
    <row r="98" spans="1:5" x14ac:dyDescent="0.25">
      <c r="A98" s="11" t="s">
        <v>41</v>
      </c>
      <c r="B98" s="12"/>
      <c r="C98" s="12"/>
      <c r="D98" s="13"/>
      <c r="E98" s="78">
        <f>E78+D86+D94</f>
        <v>1011159.4804188346</v>
      </c>
    </row>
    <row r="99" spans="1:5" x14ac:dyDescent="0.25">
      <c r="A99" s="2"/>
      <c r="B99" s="2"/>
      <c r="C99" s="2"/>
      <c r="D99" s="2"/>
      <c r="E99" s="2"/>
    </row>
    <row r="100" spans="1:5" x14ac:dyDescent="0.25">
      <c r="A100" s="56" t="s">
        <v>42</v>
      </c>
      <c r="B100" s="57"/>
      <c r="C100" s="57"/>
      <c r="D100" s="57"/>
      <c r="E100" s="85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49" t="s">
        <v>18</v>
      </c>
      <c r="B102" s="49" t="s">
        <v>38</v>
      </c>
      <c r="C102" s="2"/>
      <c r="D102" s="2"/>
      <c r="E102" s="2"/>
    </row>
    <row r="103" spans="1:5" x14ac:dyDescent="0.25">
      <c r="A103" s="17" t="s">
        <v>43</v>
      </c>
      <c r="B103" s="47">
        <v>0.05</v>
      </c>
      <c r="C103" s="2"/>
      <c r="D103" s="2"/>
      <c r="E103" s="2"/>
    </row>
    <row r="104" spans="1:5" x14ac:dyDescent="0.25">
      <c r="A104" s="18" t="s">
        <v>44</v>
      </c>
      <c r="B104" s="39">
        <v>6.4999999999999997E-3</v>
      </c>
      <c r="C104" s="2"/>
      <c r="D104" s="2"/>
      <c r="E104" s="305"/>
    </row>
    <row r="105" spans="1:5" x14ac:dyDescent="0.25">
      <c r="A105" s="4" t="s">
        <v>45</v>
      </c>
      <c r="B105" s="51">
        <v>0.03</v>
      </c>
      <c r="C105" s="2"/>
      <c r="D105" s="2"/>
      <c r="E105" s="2"/>
    </row>
    <row r="106" spans="1:5" x14ac:dyDescent="0.25">
      <c r="A106" s="2"/>
      <c r="B106" s="15"/>
      <c r="C106" s="2"/>
      <c r="D106" s="2"/>
      <c r="E106" s="2"/>
    </row>
    <row r="107" spans="1:5" ht="27.75" customHeight="1" x14ac:dyDescent="0.25">
      <c r="A107" s="16" t="s">
        <v>46</v>
      </c>
      <c r="B107" s="79">
        <f>SUM(B103:B105)</f>
        <v>8.6499999999999994E-2</v>
      </c>
      <c r="C107" s="2"/>
      <c r="D107" s="2"/>
      <c r="E107" s="306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56" t="s">
        <v>47</v>
      </c>
      <c r="B109" s="57"/>
      <c r="C109" s="57"/>
      <c r="D109" s="57"/>
      <c r="E109" s="307">
        <f>E98*1.0865</f>
        <v>1098624.7754750638</v>
      </c>
    </row>
    <row r="110" spans="1:5" x14ac:dyDescent="0.25">
      <c r="A110" s="3"/>
      <c r="B110" s="2"/>
      <c r="C110" s="2"/>
      <c r="D110" s="2"/>
      <c r="E110" s="2"/>
    </row>
    <row r="111" spans="1:5" ht="15.75" x14ac:dyDescent="0.25">
      <c r="A111" s="50" t="s">
        <v>65</v>
      </c>
      <c r="B111" s="52"/>
      <c r="C111" s="52"/>
      <c r="D111" s="53"/>
      <c r="E111" s="80">
        <f>E109</f>
        <v>1098624.7754750638</v>
      </c>
    </row>
    <row r="112" spans="1:5" x14ac:dyDescent="0.25">
      <c r="A112" s="94" t="s">
        <v>48</v>
      </c>
      <c r="B112" s="2"/>
      <c r="C112" s="2"/>
      <c r="D112" s="2"/>
      <c r="E112" s="2"/>
    </row>
    <row r="113" spans="1:5" x14ac:dyDescent="0.25">
      <c r="A113" s="26" t="s">
        <v>49</v>
      </c>
      <c r="B113" s="1"/>
      <c r="C113" s="1"/>
      <c r="D113" s="1"/>
      <c r="E113" s="1"/>
    </row>
    <row r="114" spans="1:5" x14ac:dyDescent="0.25">
      <c r="A114" s="27" t="s">
        <v>50</v>
      </c>
      <c r="B114" s="2"/>
      <c r="C114" s="2"/>
      <c r="D114" s="2"/>
      <c r="E114" s="2"/>
    </row>
    <row r="115" spans="1:5" x14ac:dyDescent="0.25">
      <c r="A115" s="27" t="s">
        <v>51</v>
      </c>
      <c r="B115" s="2"/>
      <c r="C115" s="2"/>
      <c r="D115" s="2"/>
      <c r="E115" s="2"/>
    </row>
    <row r="116" spans="1:5" x14ac:dyDescent="0.25">
      <c r="A116" s="27" t="s">
        <v>52</v>
      </c>
    </row>
    <row r="117" spans="1:5" x14ac:dyDescent="0.25">
      <c r="A117" s="27" t="s">
        <v>53</v>
      </c>
    </row>
    <row r="118" spans="1:5" x14ac:dyDescent="0.25">
      <c r="A118" s="27" t="s">
        <v>54</v>
      </c>
    </row>
    <row r="119" spans="1:5" x14ac:dyDescent="0.25">
      <c r="A119" s="27" t="s">
        <v>55</v>
      </c>
    </row>
    <row r="120" spans="1:5" x14ac:dyDescent="0.25">
      <c r="A120" s="26" t="s">
        <v>56</v>
      </c>
    </row>
    <row r="121" spans="1:5" x14ac:dyDescent="0.25">
      <c r="A121" s="27" t="s">
        <v>57</v>
      </c>
    </row>
    <row r="122" spans="1:5" x14ac:dyDescent="0.25">
      <c r="A122" s="27" t="s">
        <v>58</v>
      </c>
    </row>
    <row r="123" spans="1:5" x14ac:dyDescent="0.25">
      <c r="A123" s="29">
        <v>2</v>
      </c>
    </row>
    <row r="124" spans="1:5" x14ac:dyDescent="0.25">
      <c r="A124" s="27" t="s">
        <v>59</v>
      </c>
    </row>
    <row r="125" spans="1:5" x14ac:dyDescent="0.25">
      <c r="A125" s="29">
        <v>3</v>
      </c>
    </row>
    <row r="126" spans="1:5" x14ac:dyDescent="0.25">
      <c r="A126" s="27" t="s">
        <v>60</v>
      </c>
    </row>
    <row r="127" spans="1:5" x14ac:dyDescent="0.25">
      <c r="A127" s="29">
        <v>5</v>
      </c>
    </row>
    <row r="128" spans="1:5" x14ac:dyDescent="0.25">
      <c r="A128" s="27" t="s">
        <v>61</v>
      </c>
    </row>
    <row r="129" spans="1:1" x14ac:dyDescent="0.25">
      <c r="A129" s="27"/>
    </row>
    <row r="130" spans="1:1" x14ac:dyDescent="0.25">
      <c r="A130" s="28" t="s">
        <v>62</v>
      </c>
    </row>
    <row r="131" spans="1:1" x14ac:dyDescent="0.25">
      <c r="A131" s="2"/>
    </row>
    <row r="132" spans="1:1" x14ac:dyDescent="0.25">
      <c r="A132" s="32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67" orientation="portrait" r:id="rId1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2"/>
  <sheetViews>
    <sheetView topLeftCell="C5" workbookViewId="0">
      <selection activeCell="N19" sqref="N19"/>
    </sheetView>
  </sheetViews>
  <sheetFormatPr defaultColWidth="7.85546875" defaultRowHeight="15" x14ac:dyDescent="0.2"/>
  <cols>
    <col min="1" max="1" width="26.42578125" style="110" customWidth="1"/>
    <col min="2" max="2" width="12.28515625" style="110" customWidth="1"/>
    <col min="3" max="3" width="14.85546875" style="110" customWidth="1"/>
    <col min="4" max="4" width="14.42578125" style="110" customWidth="1"/>
    <col min="5" max="6" width="15.140625" style="110" customWidth="1"/>
    <col min="7" max="7" width="16.42578125" style="110" bestFit="1" customWidth="1"/>
    <col min="8" max="8" width="13.7109375" style="110" customWidth="1"/>
    <col min="9" max="9" width="16.28515625" style="110" customWidth="1"/>
    <col min="10" max="10" width="24.28515625" style="110" customWidth="1"/>
    <col min="11" max="11" width="15.7109375" style="110" customWidth="1"/>
    <col min="12" max="12" width="11.85546875" style="110" customWidth="1"/>
    <col min="13" max="13" width="7.85546875" style="110"/>
    <col min="14" max="14" width="16.7109375" style="110" bestFit="1" customWidth="1"/>
    <col min="15" max="256" width="7.85546875" style="110"/>
    <col min="257" max="257" width="26.42578125" style="110" customWidth="1"/>
    <col min="258" max="258" width="12.28515625" style="110" customWidth="1"/>
    <col min="259" max="259" width="14.85546875" style="110" customWidth="1"/>
    <col min="260" max="260" width="14.42578125" style="110" customWidth="1"/>
    <col min="261" max="263" width="15.140625" style="110" customWidth="1"/>
    <col min="264" max="264" width="13.7109375" style="110" customWidth="1"/>
    <col min="265" max="265" width="16.28515625" style="110" customWidth="1"/>
    <col min="266" max="269" width="7.85546875" style="110"/>
    <col min="270" max="270" width="14.7109375" style="110" bestFit="1" customWidth="1"/>
    <col min="271" max="512" width="7.85546875" style="110"/>
    <col min="513" max="513" width="26.42578125" style="110" customWidth="1"/>
    <col min="514" max="514" width="12.28515625" style="110" customWidth="1"/>
    <col min="515" max="515" width="14.85546875" style="110" customWidth="1"/>
    <col min="516" max="516" width="14.42578125" style="110" customWidth="1"/>
    <col min="517" max="519" width="15.140625" style="110" customWidth="1"/>
    <col min="520" max="520" width="13.7109375" style="110" customWidth="1"/>
    <col min="521" max="521" width="16.28515625" style="110" customWidth="1"/>
    <col min="522" max="525" width="7.85546875" style="110"/>
    <col min="526" max="526" width="14.7109375" style="110" bestFit="1" customWidth="1"/>
    <col min="527" max="768" width="7.85546875" style="110"/>
    <col min="769" max="769" width="26.42578125" style="110" customWidth="1"/>
    <col min="770" max="770" width="12.28515625" style="110" customWidth="1"/>
    <col min="771" max="771" width="14.85546875" style="110" customWidth="1"/>
    <col min="772" max="772" width="14.42578125" style="110" customWidth="1"/>
    <col min="773" max="775" width="15.140625" style="110" customWidth="1"/>
    <col min="776" max="776" width="13.7109375" style="110" customWidth="1"/>
    <col min="777" max="777" width="16.28515625" style="110" customWidth="1"/>
    <col min="778" max="781" width="7.85546875" style="110"/>
    <col min="782" max="782" width="14.7109375" style="110" bestFit="1" customWidth="1"/>
    <col min="783" max="1024" width="7.85546875" style="110"/>
    <col min="1025" max="1025" width="26.42578125" style="110" customWidth="1"/>
    <col min="1026" max="1026" width="12.28515625" style="110" customWidth="1"/>
    <col min="1027" max="1027" width="14.85546875" style="110" customWidth="1"/>
    <col min="1028" max="1028" width="14.42578125" style="110" customWidth="1"/>
    <col min="1029" max="1031" width="15.140625" style="110" customWidth="1"/>
    <col min="1032" max="1032" width="13.7109375" style="110" customWidth="1"/>
    <col min="1033" max="1033" width="16.28515625" style="110" customWidth="1"/>
    <col min="1034" max="1037" width="7.85546875" style="110"/>
    <col min="1038" max="1038" width="14.7109375" style="110" bestFit="1" customWidth="1"/>
    <col min="1039" max="1280" width="7.85546875" style="110"/>
    <col min="1281" max="1281" width="26.42578125" style="110" customWidth="1"/>
    <col min="1282" max="1282" width="12.28515625" style="110" customWidth="1"/>
    <col min="1283" max="1283" width="14.85546875" style="110" customWidth="1"/>
    <col min="1284" max="1284" width="14.42578125" style="110" customWidth="1"/>
    <col min="1285" max="1287" width="15.140625" style="110" customWidth="1"/>
    <col min="1288" max="1288" width="13.7109375" style="110" customWidth="1"/>
    <col min="1289" max="1289" width="16.28515625" style="110" customWidth="1"/>
    <col min="1290" max="1293" width="7.85546875" style="110"/>
    <col min="1294" max="1294" width="14.7109375" style="110" bestFit="1" customWidth="1"/>
    <col min="1295" max="1536" width="7.85546875" style="110"/>
    <col min="1537" max="1537" width="26.42578125" style="110" customWidth="1"/>
    <col min="1538" max="1538" width="12.28515625" style="110" customWidth="1"/>
    <col min="1539" max="1539" width="14.85546875" style="110" customWidth="1"/>
    <col min="1540" max="1540" width="14.42578125" style="110" customWidth="1"/>
    <col min="1541" max="1543" width="15.140625" style="110" customWidth="1"/>
    <col min="1544" max="1544" width="13.7109375" style="110" customWidth="1"/>
    <col min="1545" max="1545" width="16.28515625" style="110" customWidth="1"/>
    <col min="1546" max="1549" width="7.85546875" style="110"/>
    <col min="1550" max="1550" width="14.7109375" style="110" bestFit="1" customWidth="1"/>
    <col min="1551" max="1792" width="7.85546875" style="110"/>
    <col min="1793" max="1793" width="26.42578125" style="110" customWidth="1"/>
    <col min="1794" max="1794" width="12.28515625" style="110" customWidth="1"/>
    <col min="1795" max="1795" width="14.85546875" style="110" customWidth="1"/>
    <col min="1796" max="1796" width="14.42578125" style="110" customWidth="1"/>
    <col min="1797" max="1799" width="15.140625" style="110" customWidth="1"/>
    <col min="1800" max="1800" width="13.7109375" style="110" customWidth="1"/>
    <col min="1801" max="1801" width="16.28515625" style="110" customWidth="1"/>
    <col min="1802" max="1805" width="7.85546875" style="110"/>
    <col min="1806" max="1806" width="14.7109375" style="110" bestFit="1" customWidth="1"/>
    <col min="1807" max="2048" width="7.85546875" style="110"/>
    <col min="2049" max="2049" width="26.42578125" style="110" customWidth="1"/>
    <col min="2050" max="2050" width="12.28515625" style="110" customWidth="1"/>
    <col min="2051" max="2051" width="14.85546875" style="110" customWidth="1"/>
    <col min="2052" max="2052" width="14.42578125" style="110" customWidth="1"/>
    <col min="2053" max="2055" width="15.140625" style="110" customWidth="1"/>
    <col min="2056" max="2056" width="13.7109375" style="110" customWidth="1"/>
    <col min="2057" max="2057" width="16.28515625" style="110" customWidth="1"/>
    <col min="2058" max="2061" width="7.85546875" style="110"/>
    <col min="2062" max="2062" width="14.7109375" style="110" bestFit="1" customWidth="1"/>
    <col min="2063" max="2304" width="7.85546875" style="110"/>
    <col min="2305" max="2305" width="26.42578125" style="110" customWidth="1"/>
    <col min="2306" max="2306" width="12.28515625" style="110" customWidth="1"/>
    <col min="2307" max="2307" width="14.85546875" style="110" customWidth="1"/>
    <col min="2308" max="2308" width="14.42578125" style="110" customWidth="1"/>
    <col min="2309" max="2311" width="15.140625" style="110" customWidth="1"/>
    <col min="2312" max="2312" width="13.7109375" style="110" customWidth="1"/>
    <col min="2313" max="2313" width="16.28515625" style="110" customWidth="1"/>
    <col min="2314" max="2317" width="7.85546875" style="110"/>
    <col min="2318" max="2318" width="14.7109375" style="110" bestFit="1" customWidth="1"/>
    <col min="2319" max="2560" width="7.85546875" style="110"/>
    <col min="2561" max="2561" width="26.42578125" style="110" customWidth="1"/>
    <col min="2562" max="2562" width="12.28515625" style="110" customWidth="1"/>
    <col min="2563" max="2563" width="14.85546875" style="110" customWidth="1"/>
    <col min="2564" max="2564" width="14.42578125" style="110" customWidth="1"/>
    <col min="2565" max="2567" width="15.140625" style="110" customWidth="1"/>
    <col min="2568" max="2568" width="13.7109375" style="110" customWidth="1"/>
    <col min="2569" max="2569" width="16.28515625" style="110" customWidth="1"/>
    <col min="2570" max="2573" width="7.85546875" style="110"/>
    <col min="2574" max="2574" width="14.7109375" style="110" bestFit="1" customWidth="1"/>
    <col min="2575" max="2816" width="7.85546875" style="110"/>
    <col min="2817" max="2817" width="26.42578125" style="110" customWidth="1"/>
    <col min="2818" max="2818" width="12.28515625" style="110" customWidth="1"/>
    <col min="2819" max="2819" width="14.85546875" style="110" customWidth="1"/>
    <col min="2820" max="2820" width="14.42578125" style="110" customWidth="1"/>
    <col min="2821" max="2823" width="15.140625" style="110" customWidth="1"/>
    <col min="2824" max="2824" width="13.7109375" style="110" customWidth="1"/>
    <col min="2825" max="2825" width="16.28515625" style="110" customWidth="1"/>
    <col min="2826" max="2829" width="7.85546875" style="110"/>
    <col min="2830" max="2830" width="14.7109375" style="110" bestFit="1" customWidth="1"/>
    <col min="2831" max="3072" width="7.85546875" style="110"/>
    <col min="3073" max="3073" width="26.42578125" style="110" customWidth="1"/>
    <col min="3074" max="3074" width="12.28515625" style="110" customWidth="1"/>
    <col min="3075" max="3075" width="14.85546875" style="110" customWidth="1"/>
    <col min="3076" max="3076" width="14.42578125" style="110" customWidth="1"/>
    <col min="3077" max="3079" width="15.140625" style="110" customWidth="1"/>
    <col min="3080" max="3080" width="13.7109375" style="110" customWidth="1"/>
    <col min="3081" max="3081" width="16.28515625" style="110" customWidth="1"/>
    <col min="3082" max="3085" width="7.85546875" style="110"/>
    <col min="3086" max="3086" width="14.7109375" style="110" bestFit="1" customWidth="1"/>
    <col min="3087" max="3328" width="7.85546875" style="110"/>
    <col min="3329" max="3329" width="26.42578125" style="110" customWidth="1"/>
    <col min="3330" max="3330" width="12.28515625" style="110" customWidth="1"/>
    <col min="3331" max="3331" width="14.85546875" style="110" customWidth="1"/>
    <col min="3332" max="3332" width="14.42578125" style="110" customWidth="1"/>
    <col min="3333" max="3335" width="15.140625" style="110" customWidth="1"/>
    <col min="3336" max="3336" width="13.7109375" style="110" customWidth="1"/>
    <col min="3337" max="3337" width="16.28515625" style="110" customWidth="1"/>
    <col min="3338" max="3341" width="7.85546875" style="110"/>
    <col min="3342" max="3342" width="14.7109375" style="110" bestFit="1" customWidth="1"/>
    <col min="3343" max="3584" width="7.85546875" style="110"/>
    <col min="3585" max="3585" width="26.42578125" style="110" customWidth="1"/>
    <col min="3586" max="3586" width="12.28515625" style="110" customWidth="1"/>
    <col min="3587" max="3587" width="14.85546875" style="110" customWidth="1"/>
    <col min="3588" max="3588" width="14.42578125" style="110" customWidth="1"/>
    <col min="3589" max="3591" width="15.140625" style="110" customWidth="1"/>
    <col min="3592" max="3592" width="13.7109375" style="110" customWidth="1"/>
    <col min="3593" max="3593" width="16.28515625" style="110" customWidth="1"/>
    <col min="3594" max="3597" width="7.85546875" style="110"/>
    <col min="3598" max="3598" width="14.7109375" style="110" bestFit="1" customWidth="1"/>
    <col min="3599" max="3840" width="7.85546875" style="110"/>
    <col min="3841" max="3841" width="26.42578125" style="110" customWidth="1"/>
    <col min="3842" max="3842" width="12.28515625" style="110" customWidth="1"/>
    <col min="3843" max="3843" width="14.85546875" style="110" customWidth="1"/>
    <col min="3844" max="3844" width="14.42578125" style="110" customWidth="1"/>
    <col min="3845" max="3847" width="15.140625" style="110" customWidth="1"/>
    <col min="3848" max="3848" width="13.7109375" style="110" customWidth="1"/>
    <col min="3849" max="3849" width="16.28515625" style="110" customWidth="1"/>
    <col min="3850" max="3853" width="7.85546875" style="110"/>
    <col min="3854" max="3854" width="14.7109375" style="110" bestFit="1" customWidth="1"/>
    <col min="3855" max="4096" width="7.85546875" style="110"/>
    <col min="4097" max="4097" width="26.42578125" style="110" customWidth="1"/>
    <col min="4098" max="4098" width="12.28515625" style="110" customWidth="1"/>
    <col min="4099" max="4099" width="14.85546875" style="110" customWidth="1"/>
    <col min="4100" max="4100" width="14.42578125" style="110" customWidth="1"/>
    <col min="4101" max="4103" width="15.140625" style="110" customWidth="1"/>
    <col min="4104" max="4104" width="13.7109375" style="110" customWidth="1"/>
    <col min="4105" max="4105" width="16.28515625" style="110" customWidth="1"/>
    <col min="4106" max="4109" width="7.85546875" style="110"/>
    <col min="4110" max="4110" width="14.7109375" style="110" bestFit="1" customWidth="1"/>
    <col min="4111" max="4352" width="7.85546875" style="110"/>
    <col min="4353" max="4353" width="26.42578125" style="110" customWidth="1"/>
    <col min="4354" max="4354" width="12.28515625" style="110" customWidth="1"/>
    <col min="4355" max="4355" width="14.85546875" style="110" customWidth="1"/>
    <col min="4356" max="4356" width="14.42578125" style="110" customWidth="1"/>
    <col min="4357" max="4359" width="15.140625" style="110" customWidth="1"/>
    <col min="4360" max="4360" width="13.7109375" style="110" customWidth="1"/>
    <col min="4361" max="4361" width="16.28515625" style="110" customWidth="1"/>
    <col min="4362" max="4365" width="7.85546875" style="110"/>
    <col min="4366" max="4366" width="14.7109375" style="110" bestFit="1" customWidth="1"/>
    <col min="4367" max="4608" width="7.85546875" style="110"/>
    <col min="4609" max="4609" width="26.42578125" style="110" customWidth="1"/>
    <col min="4610" max="4610" width="12.28515625" style="110" customWidth="1"/>
    <col min="4611" max="4611" width="14.85546875" style="110" customWidth="1"/>
    <col min="4612" max="4612" width="14.42578125" style="110" customWidth="1"/>
    <col min="4613" max="4615" width="15.140625" style="110" customWidth="1"/>
    <col min="4616" max="4616" width="13.7109375" style="110" customWidth="1"/>
    <col min="4617" max="4617" width="16.28515625" style="110" customWidth="1"/>
    <col min="4618" max="4621" width="7.85546875" style="110"/>
    <col min="4622" max="4622" width="14.7109375" style="110" bestFit="1" customWidth="1"/>
    <col min="4623" max="4864" width="7.85546875" style="110"/>
    <col min="4865" max="4865" width="26.42578125" style="110" customWidth="1"/>
    <col min="4866" max="4866" width="12.28515625" style="110" customWidth="1"/>
    <col min="4867" max="4867" width="14.85546875" style="110" customWidth="1"/>
    <col min="4868" max="4868" width="14.42578125" style="110" customWidth="1"/>
    <col min="4869" max="4871" width="15.140625" style="110" customWidth="1"/>
    <col min="4872" max="4872" width="13.7109375" style="110" customWidth="1"/>
    <col min="4873" max="4873" width="16.28515625" style="110" customWidth="1"/>
    <col min="4874" max="4877" width="7.85546875" style="110"/>
    <col min="4878" max="4878" width="14.7109375" style="110" bestFit="1" customWidth="1"/>
    <col min="4879" max="5120" width="7.85546875" style="110"/>
    <col min="5121" max="5121" width="26.42578125" style="110" customWidth="1"/>
    <col min="5122" max="5122" width="12.28515625" style="110" customWidth="1"/>
    <col min="5123" max="5123" width="14.85546875" style="110" customWidth="1"/>
    <col min="5124" max="5124" width="14.42578125" style="110" customWidth="1"/>
    <col min="5125" max="5127" width="15.140625" style="110" customWidth="1"/>
    <col min="5128" max="5128" width="13.7109375" style="110" customWidth="1"/>
    <col min="5129" max="5129" width="16.28515625" style="110" customWidth="1"/>
    <col min="5130" max="5133" width="7.85546875" style="110"/>
    <col min="5134" max="5134" width="14.7109375" style="110" bestFit="1" customWidth="1"/>
    <col min="5135" max="5376" width="7.85546875" style="110"/>
    <col min="5377" max="5377" width="26.42578125" style="110" customWidth="1"/>
    <col min="5378" max="5378" width="12.28515625" style="110" customWidth="1"/>
    <col min="5379" max="5379" width="14.85546875" style="110" customWidth="1"/>
    <col min="5380" max="5380" width="14.42578125" style="110" customWidth="1"/>
    <col min="5381" max="5383" width="15.140625" style="110" customWidth="1"/>
    <col min="5384" max="5384" width="13.7109375" style="110" customWidth="1"/>
    <col min="5385" max="5385" width="16.28515625" style="110" customWidth="1"/>
    <col min="5386" max="5389" width="7.85546875" style="110"/>
    <col min="5390" max="5390" width="14.7109375" style="110" bestFit="1" customWidth="1"/>
    <col min="5391" max="5632" width="7.85546875" style="110"/>
    <col min="5633" max="5633" width="26.42578125" style="110" customWidth="1"/>
    <col min="5634" max="5634" width="12.28515625" style="110" customWidth="1"/>
    <col min="5635" max="5635" width="14.85546875" style="110" customWidth="1"/>
    <col min="5636" max="5636" width="14.42578125" style="110" customWidth="1"/>
    <col min="5637" max="5639" width="15.140625" style="110" customWidth="1"/>
    <col min="5640" max="5640" width="13.7109375" style="110" customWidth="1"/>
    <col min="5641" max="5641" width="16.28515625" style="110" customWidth="1"/>
    <col min="5642" max="5645" width="7.85546875" style="110"/>
    <col min="5646" max="5646" width="14.7109375" style="110" bestFit="1" customWidth="1"/>
    <col min="5647" max="5888" width="7.85546875" style="110"/>
    <col min="5889" max="5889" width="26.42578125" style="110" customWidth="1"/>
    <col min="5890" max="5890" width="12.28515625" style="110" customWidth="1"/>
    <col min="5891" max="5891" width="14.85546875" style="110" customWidth="1"/>
    <col min="5892" max="5892" width="14.42578125" style="110" customWidth="1"/>
    <col min="5893" max="5895" width="15.140625" style="110" customWidth="1"/>
    <col min="5896" max="5896" width="13.7109375" style="110" customWidth="1"/>
    <col min="5897" max="5897" width="16.28515625" style="110" customWidth="1"/>
    <col min="5898" max="5901" width="7.85546875" style="110"/>
    <col min="5902" max="5902" width="14.7109375" style="110" bestFit="1" customWidth="1"/>
    <col min="5903" max="6144" width="7.85546875" style="110"/>
    <col min="6145" max="6145" width="26.42578125" style="110" customWidth="1"/>
    <col min="6146" max="6146" width="12.28515625" style="110" customWidth="1"/>
    <col min="6147" max="6147" width="14.85546875" style="110" customWidth="1"/>
    <col min="6148" max="6148" width="14.42578125" style="110" customWidth="1"/>
    <col min="6149" max="6151" width="15.140625" style="110" customWidth="1"/>
    <col min="6152" max="6152" width="13.7109375" style="110" customWidth="1"/>
    <col min="6153" max="6153" width="16.28515625" style="110" customWidth="1"/>
    <col min="6154" max="6157" width="7.85546875" style="110"/>
    <col min="6158" max="6158" width="14.7109375" style="110" bestFit="1" customWidth="1"/>
    <col min="6159" max="6400" width="7.85546875" style="110"/>
    <col min="6401" max="6401" width="26.42578125" style="110" customWidth="1"/>
    <col min="6402" max="6402" width="12.28515625" style="110" customWidth="1"/>
    <col min="6403" max="6403" width="14.85546875" style="110" customWidth="1"/>
    <col min="6404" max="6404" width="14.42578125" style="110" customWidth="1"/>
    <col min="6405" max="6407" width="15.140625" style="110" customWidth="1"/>
    <col min="6408" max="6408" width="13.7109375" style="110" customWidth="1"/>
    <col min="6409" max="6409" width="16.28515625" style="110" customWidth="1"/>
    <col min="6410" max="6413" width="7.85546875" style="110"/>
    <col min="6414" max="6414" width="14.7109375" style="110" bestFit="1" customWidth="1"/>
    <col min="6415" max="6656" width="7.85546875" style="110"/>
    <col min="6657" max="6657" width="26.42578125" style="110" customWidth="1"/>
    <col min="6658" max="6658" width="12.28515625" style="110" customWidth="1"/>
    <col min="6659" max="6659" width="14.85546875" style="110" customWidth="1"/>
    <col min="6660" max="6660" width="14.42578125" style="110" customWidth="1"/>
    <col min="6661" max="6663" width="15.140625" style="110" customWidth="1"/>
    <col min="6664" max="6664" width="13.7109375" style="110" customWidth="1"/>
    <col min="6665" max="6665" width="16.28515625" style="110" customWidth="1"/>
    <col min="6666" max="6669" width="7.85546875" style="110"/>
    <col min="6670" max="6670" width="14.7109375" style="110" bestFit="1" customWidth="1"/>
    <col min="6671" max="6912" width="7.85546875" style="110"/>
    <col min="6913" max="6913" width="26.42578125" style="110" customWidth="1"/>
    <col min="6914" max="6914" width="12.28515625" style="110" customWidth="1"/>
    <col min="6915" max="6915" width="14.85546875" style="110" customWidth="1"/>
    <col min="6916" max="6916" width="14.42578125" style="110" customWidth="1"/>
    <col min="6917" max="6919" width="15.140625" style="110" customWidth="1"/>
    <col min="6920" max="6920" width="13.7109375" style="110" customWidth="1"/>
    <col min="6921" max="6921" width="16.28515625" style="110" customWidth="1"/>
    <col min="6922" max="6925" width="7.85546875" style="110"/>
    <col min="6926" max="6926" width="14.7109375" style="110" bestFit="1" customWidth="1"/>
    <col min="6927" max="7168" width="7.85546875" style="110"/>
    <col min="7169" max="7169" width="26.42578125" style="110" customWidth="1"/>
    <col min="7170" max="7170" width="12.28515625" style="110" customWidth="1"/>
    <col min="7171" max="7171" width="14.85546875" style="110" customWidth="1"/>
    <col min="7172" max="7172" width="14.42578125" style="110" customWidth="1"/>
    <col min="7173" max="7175" width="15.140625" style="110" customWidth="1"/>
    <col min="7176" max="7176" width="13.7109375" style="110" customWidth="1"/>
    <col min="7177" max="7177" width="16.28515625" style="110" customWidth="1"/>
    <col min="7178" max="7181" width="7.85546875" style="110"/>
    <col min="7182" max="7182" width="14.7109375" style="110" bestFit="1" customWidth="1"/>
    <col min="7183" max="7424" width="7.85546875" style="110"/>
    <col min="7425" max="7425" width="26.42578125" style="110" customWidth="1"/>
    <col min="7426" max="7426" width="12.28515625" style="110" customWidth="1"/>
    <col min="7427" max="7427" width="14.85546875" style="110" customWidth="1"/>
    <col min="7428" max="7428" width="14.42578125" style="110" customWidth="1"/>
    <col min="7429" max="7431" width="15.140625" style="110" customWidth="1"/>
    <col min="7432" max="7432" width="13.7109375" style="110" customWidth="1"/>
    <col min="7433" max="7433" width="16.28515625" style="110" customWidth="1"/>
    <col min="7434" max="7437" width="7.85546875" style="110"/>
    <col min="7438" max="7438" width="14.7109375" style="110" bestFit="1" customWidth="1"/>
    <col min="7439" max="7680" width="7.85546875" style="110"/>
    <col min="7681" max="7681" width="26.42578125" style="110" customWidth="1"/>
    <col min="7682" max="7682" width="12.28515625" style="110" customWidth="1"/>
    <col min="7683" max="7683" width="14.85546875" style="110" customWidth="1"/>
    <col min="7684" max="7684" width="14.42578125" style="110" customWidth="1"/>
    <col min="7685" max="7687" width="15.140625" style="110" customWidth="1"/>
    <col min="7688" max="7688" width="13.7109375" style="110" customWidth="1"/>
    <col min="7689" max="7689" width="16.28515625" style="110" customWidth="1"/>
    <col min="7690" max="7693" width="7.85546875" style="110"/>
    <col min="7694" max="7694" width="14.7109375" style="110" bestFit="1" customWidth="1"/>
    <col min="7695" max="7936" width="7.85546875" style="110"/>
    <col min="7937" max="7937" width="26.42578125" style="110" customWidth="1"/>
    <col min="7938" max="7938" width="12.28515625" style="110" customWidth="1"/>
    <col min="7939" max="7939" width="14.85546875" style="110" customWidth="1"/>
    <col min="7940" max="7940" width="14.42578125" style="110" customWidth="1"/>
    <col min="7941" max="7943" width="15.140625" style="110" customWidth="1"/>
    <col min="7944" max="7944" width="13.7109375" style="110" customWidth="1"/>
    <col min="7945" max="7945" width="16.28515625" style="110" customWidth="1"/>
    <col min="7946" max="7949" width="7.85546875" style="110"/>
    <col min="7950" max="7950" width="14.7109375" style="110" bestFit="1" customWidth="1"/>
    <col min="7951" max="8192" width="7.85546875" style="110"/>
    <col min="8193" max="8193" width="26.42578125" style="110" customWidth="1"/>
    <col min="8194" max="8194" width="12.28515625" style="110" customWidth="1"/>
    <col min="8195" max="8195" width="14.85546875" style="110" customWidth="1"/>
    <col min="8196" max="8196" width="14.42578125" style="110" customWidth="1"/>
    <col min="8197" max="8199" width="15.140625" style="110" customWidth="1"/>
    <col min="8200" max="8200" width="13.7109375" style="110" customWidth="1"/>
    <col min="8201" max="8201" width="16.28515625" style="110" customWidth="1"/>
    <col min="8202" max="8205" width="7.85546875" style="110"/>
    <col min="8206" max="8206" width="14.7109375" style="110" bestFit="1" customWidth="1"/>
    <col min="8207" max="8448" width="7.85546875" style="110"/>
    <col min="8449" max="8449" width="26.42578125" style="110" customWidth="1"/>
    <col min="8450" max="8450" width="12.28515625" style="110" customWidth="1"/>
    <col min="8451" max="8451" width="14.85546875" style="110" customWidth="1"/>
    <col min="8452" max="8452" width="14.42578125" style="110" customWidth="1"/>
    <col min="8453" max="8455" width="15.140625" style="110" customWidth="1"/>
    <col min="8456" max="8456" width="13.7109375" style="110" customWidth="1"/>
    <col min="8457" max="8457" width="16.28515625" style="110" customWidth="1"/>
    <col min="8458" max="8461" width="7.85546875" style="110"/>
    <col min="8462" max="8462" width="14.7109375" style="110" bestFit="1" customWidth="1"/>
    <col min="8463" max="8704" width="7.85546875" style="110"/>
    <col min="8705" max="8705" width="26.42578125" style="110" customWidth="1"/>
    <col min="8706" max="8706" width="12.28515625" style="110" customWidth="1"/>
    <col min="8707" max="8707" width="14.85546875" style="110" customWidth="1"/>
    <col min="8708" max="8708" width="14.42578125" style="110" customWidth="1"/>
    <col min="8709" max="8711" width="15.140625" style="110" customWidth="1"/>
    <col min="8712" max="8712" width="13.7109375" style="110" customWidth="1"/>
    <col min="8713" max="8713" width="16.28515625" style="110" customWidth="1"/>
    <col min="8714" max="8717" width="7.85546875" style="110"/>
    <col min="8718" max="8718" width="14.7109375" style="110" bestFit="1" customWidth="1"/>
    <col min="8719" max="8960" width="7.85546875" style="110"/>
    <col min="8961" max="8961" width="26.42578125" style="110" customWidth="1"/>
    <col min="8962" max="8962" width="12.28515625" style="110" customWidth="1"/>
    <col min="8963" max="8963" width="14.85546875" style="110" customWidth="1"/>
    <col min="8964" max="8964" width="14.42578125" style="110" customWidth="1"/>
    <col min="8965" max="8967" width="15.140625" style="110" customWidth="1"/>
    <col min="8968" max="8968" width="13.7109375" style="110" customWidth="1"/>
    <col min="8969" max="8969" width="16.28515625" style="110" customWidth="1"/>
    <col min="8970" max="8973" width="7.85546875" style="110"/>
    <col min="8974" max="8974" width="14.7109375" style="110" bestFit="1" customWidth="1"/>
    <col min="8975" max="9216" width="7.85546875" style="110"/>
    <col min="9217" max="9217" width="26.42578125" style="110" customWidth="1"/>
    <col min="9218" max="9218" width="12.28515625" style="110" customWidth="1"/>
    <col min="9219" max="9219" width="14.85546875" style="110" customWidth="1"/>
    <col min="9220" max="9220" width="14.42578125" style="110" customWidth="1"/>
    <col min="9221" max="9223" width="15.140625" style="110" customWidth="1"/>
    <col min="9224" max="9224" width="13.7109375" style="110" customWidth="1"/>
    <col min="9225" max="9225" width="16.28515625" style="110" customWidth="1"/>
    <col min="9226" max="9229" width="7.85546875" style="110"/>
    <col min="9230" max="9230" width="14.7109375" style="110" bestFit="1" customWidth="1"/>
    <col min="9231" max="9472" width="7.85546875" style="110"/>
    <col min="9473" max="9473" width="26.42578125" style="110" customWidth="1"/>
    <col min="9474" max="9474" width="12.28515625" style="110" customWidth="1"/>
    <col min="9475" max="9475" width="14.85546875" style="110" customWidth="1"/>
    <col min="9476" max="9476" width="14.42578125" style="110" customWidth="1"/>
    <col min="9477" max="9479" width="15.140625" style="110" customWidth="1"/>
    <col min="9480" max="9480" width="13.7109375" style="110" customWidth="1"/>
    <col min="9481" max="9481" width="16.28515625" style="110" customWidth="1"/>
    <col min="9482" max="9485" width="7.85546875" style="110"/>
    <col min="9486" max="9486" width="14.7109375" style="110" bestFit="1" customWidth="1"/>
    <col min="9487" max="9728" width="7.85546875" style="110"/>
    <col min="9729" max="9729" width="26.42578125" style="110" customWidth="1"/>
    <col min="9730" max="9730" width="12.28515625" style="110" customWidth="1"/>
    <col min="9731" max="9731" width="14.85546875" style="110" customWidth="1"/>
    <col min="9732" max="9732" width="14.42578125" style="110" customWidth="1"/>
    <col min="9733" max="9735" width="15.140625" style="110" customWidth="1"/>
    <col min="9736" max="9736" width="13.7109375" style="110" customWidth="1"/>
    <col min="9737" max="9737" width="16.28515625" style="110" customWidth="1"/>
    <col min="9738" max="9741" width="7.85546875" style="110"/>
    <col min="9742" max="9742" width="14.7109375" style="110" bestFit="1" customWidth="1"/>
    <col min="9743" max="9984" width="7.85546875" style="110"/>
    <col min="9985" max="9985" width="26.42578125" style="110" customWidth="1"/>
    <col min="9986" max="9986" width="12.28515625" style="110" customWidth="1"/>
    <col min="9987" max="9987" width="14.85546875" style="110" customWidth="1"/>
    <col min="9988" max="9988" width="14.42578125" style="110" customWidth="1"/>
    <col min="9989" max="9991" width="15.140625" style="110" customWidth="1"/>
    <col min="9992" max="9992" width="13.7109375" style="110" customWidth="1"/>
    <col min="9993" max="9993" width="16.28515625" style="110" customWidth="1"/>
    <col min="9994" max="9997" width="7.85546875" style="110"/>
    <col min="9998" max="9998" width="14.7109375" style="110" bestFit="1" customWidth="1"/>
    <col min="9999" max="10240" width="7.85546875" style="110"/>
    <col min="10241" max="10241" width="26.42578125" style="110" customWidth="1"/>
    <col min="10242" max="10242" width="12.28515625" style="110" customWidth="1"/>
    <col min="10243" max="10243" width="14.85546875" style="110" customWidth="1"/>
    <col min="10244" max="10244" width="14.42578125" style="110" customWidth="1"/>
    <col min="10245" max="10247" width="15.140625" style="110" customWidth="1"/>
    <col min="10248" max="10248" width="13.7109375" style="110" customWidth="1"/>
    <col min="10249" max="10249" width="16.28515625" style="110" customWidth="1"/>
    <col min="10250" max="10253" width="7.85546875" style="110"/>
    <col min="10254" max="10254" width="14.7109375" style="110" bestFit="1" customWidth="1"/>
    <col min="10255" max="10496" width="7.85546875" style="110"/>
    <col min="10497" max="10497" width="26.42578125" style="110" customWidth="1"/>
    <col min="10498" max="10498" width="12.28515625" style="110" customWidth="1"/>
    <col min="10499" max="10499" width="14.85546875" style="110" customWidth="1"/>
    <col min="10500" max="10500" width="14.42578125" style="110" customWidth="1"/>
    <col min="10501" max="10503" width="15.140625" style="110" customWidth="1"/>
    <col min="10504" max="10504" width="13.7109375" style="110" customWidth="1"/>
    <col min="10505" max="10505" width="16.28515625" style="110" customWidth="1"/>
    <col min="10506" max="10509" width="7.85546875" style="110"/>
    <col min="10510" max="10510" width="14.7109375" style="110" bestFit="1" customWidth="1"/>
    <col min="10511" max="10752" width="7.85546875" style="110"/>
    <col min="10753" max="10753" width="26.42578125" style="110" customWidth="1"/>
    <col min="10754" max="10754" width="12.28515625" style="110" customWidth="1"/>
    <col min="10755" max="10755" width="14.85546875" style="110" customWidth="1"/>
    <col min="10756" max="10756" width="14.42578125" style="110" customWidth="1"/>
    <col min="10757" max="10759" width="15.140625" style="110" customWidth="1"/>
    <col min="10760" max="10760" width="13.7109375" style="110" customWidth="1"/>
    <col min="10761" max="10761" width="16.28515625" style="110" customWidth="1"/>
    <col min="10762" max="10765" width="7.85546875" style="110"/>
    <col min="10766" max="10766" width="14.7109375" style="110" bestFit="1" customWidth="1"/>
    <col min="10767" max="11008" width="7.85546875" style="110"/>
    <col min="11009" max="11009" width="26.42578125" style="110" customWidth="1"/>
    <col min="11010" max="11010" width="12.28515625" style="110" customWidth="1"/>
    <col min="11011" max="11011" width="14.85546875" style="110" customWidth="1"/>
    <col min="11012" max="11012" width="14.42578125" style="110" customWidth="1"/>
    <col min="11013" max="11015" width="15.140625" style="110" customWidth="1"/>
    <col min="11016" max="11016" width="13.7109375" style="110" customWidth="1"/>
    <col min="11017" max="11017" width="16.28515625" style="110" customWidth="1"/>
    <col min="11018" max="11021" width="7.85546875" style="110"/>
    <col min="11022" max="11022" width="14.7109375" style="110" bestFit="1" customWidth="1"/>
    <col min="11023" max="11264" width="7.85546875" style="110"/>
    <col min="11265" max="11265" width="26.42578125" style="110" customWidth="1"/>
    <col min="11266" max="11266" width="12.28515625" style="110" customWidth="1"/>
    <col min="11267" max="11267" width="14.85546875" style="110" customWidth="1"/>
    <col min="11268" max="11268" width="14.42578125" style="110" customWidth="1"/>
    <col min="11269" max="11271" width="15.140625" style="110" customWidth="1"/>
    <col min="11272" max="11272" width="13.7109375" style="110" customWidth="1"/>
    <col min="11273" max="11273" width="16.28515625" style="110" customWidth="1"/>
    <col min="11274" max="11277" width="7.85546875" style="110"/>
    <col min="11278" max="11278" width="14.7109375" style="110" bestFit="1" customWidth="1"/>
    <col min="11279" max="11520" width="7.85546875" style="110"/>
    <col min="11521" max="11521" width="26.42578125" style="110" customWidth="1"/>
    <col min="11522" max="11522" width="12.28515625" style="110" customWidth="1"/>
    <col min="11523" max="11523" width="14.85546875" style="110" customWidth="1"/>
    <col min="11524" max="11524" width="14.42578125" style="110" customWidth="1"/>
    <col min="11525" max="11527" width="15.140625" style="110" customWidth="1"/>
    <col min="11528" max="11528" width="13.7109375" style="110" customWidth="1"/>
    <col min="11529" max="11529" width="16.28515625" style="110" customWidth="1"/>
    <col min="11530" max="11533" width="7.85546875" style="110"/>
    <col min="11534" max="11534" width="14.7109375" style="110" bestFit="1" customWidth="1"/>
    <col min="11535" max="11776" width="7.85546875" style="110"/>
    <col min="11777" max="11777" width="26.42578125" style="110" customWidth="1"/>
    <col min="11778" max="11778" width="12.28515625" style="110" customWidth="1"/>
    <col min="11779" max="11779" width="14.85546875" style="110" customWidth="1"/>
    <col min="11780" max="11780" width="14.42578125" style="110" customWidth="1"/>
    <col min="11781" max="11783" width="15.140625" style="110" customWidth="1"/>
    <col min="11784" max="11784" width="13.7109375" style="110" customWidth="1"/>
    <col min="11785" max="11785" width="16.28515625" style="110" customWidth="1"/>
    <col min="11786" max="11789" width="7.85546875" style="110"/>
    <col min="11790" max="11790" width="14.7109375" style="110" bestFit="1" customWidth="1"/>
    <col min="11791" max="12032" width="7.85546875" style="110"/>
    <col min="12033" max="12033" width="26.42578125" style="110" customWidth="1"/>
    <col min="12034" max="12034" width="12.28515625" style="110" customWidth="1"/>
    <col min="12035" max="12035" width="14.85546875" style="110" customWidth="1"/>
    <col min="12036" max="12036" width="14.42578125" style="110" customWidth="1"/>
    <col min="12037" max="12039" width="15.140625" style="110" customWidth="1"/>
    <col min="12040" max="12040" width="13.7109375" style="110" customWidth="1"/>
    <col min="12041" max="12041" width="16.28515625" style="110" customWidth="1"/>
    <col min="12042" max="12045" width="7.85546875" style="110"/>
    <col min="12046" max="12046" width="14.7109375" style="110" bestFit="1" customWidth="1"/>
    <col min="12047" max="12288" width="7.85546875" style="110"/>
    <col min="12289" max="12289" width="26.42578125" style="110" customWidth="1"/>
    <col min="12290" max="12290" width="12.28515625" style="110" customWidth="1"/>
    <col min="12291" max="12291" width="14.85546875" style="110" customWidth="1"/>
    <col min="12292" max="12292" width="14.42578125" style="110" customWidth="1"/>
    <col min="12293" max="12295" width="15.140625" style="110" customWidth="1"/>
    <col min="12296" max="12296" width="13.7109375" style="110" customWidth="1"/>
    <col min="12297" max="12297" width="16.28515625" style="110" customWidth="1"/>
    <col min="12298" max="12301" width="7.85546875" style="110"/>
    <col min="12302" max="12302" width="14.7109375" style="110" bestFit="1" customWidth="1"/>
    <col min="12303" max="12544" width="7.85546875" style="110"/>
    <col min="12545" max="12545" width="26.42578125" style="110" customWidth="1"/>
    <col min="12546" max="12546" width="12.28515625" style="110" customWidth="1"/>
    <col min="12547" max="12547" width="14.85546875" style="110" customWidth="1"/>
    <col min="12548" max="12548" width="14.42578125" style="110" customWidth="1"/>
    <col min="12549" max="12551" width="15.140625" style="110" customWidth="1"/>
    <col min="12552" max="12552" width="13.7109375" style="110" customWidth="1"/>
    <col min="12553" max="12553" width="16.28515625" style="110" customWidth="1"/>
    <col min="12554" max="12557" width="7.85546875" style="110"/>
    <col min="12558" max="12558" width="14.7109375" style="110" bestFit="1" customWidth="1"/>
    <col min="12559" max="12800" width="7.85546875" style="110"/>
    <col min="12801" max="12801" width="26.42578125" style="110" customWidth="1"/>
    <col min="12802" max="12802" width="12.28515625" style="110" customWidth="1"/>
    <col min="12803" max="12803" width="14.85546875" style="110" customWidth="1"/>
    <col min="12804" max="12804" width="14.42578125" style="110" customWidth="1"/>
    <col min="12805" max="12807" width="15.140625" style="110" customWidth="1"/>
    <col min="12808" max="12808" width="13.7109375" style="110" customWidth="1"/>
    <col min="12809" max="12809" width="16.28515625" style="110" customWidth="1"/>
    <col min="12810" max="12813" width="7.85546875" style="110"/>
    <col min="12814" max="12814" width="14.7109375" style="110" bestFit="1" customWidth="1"/>
    <col min="12815" max="13056" width="7.85546875" style="110"/>
    <col min="13057" max="13057" width="26.42578125" style="110" customWidth="1"/>
    <col min="13058" max="13058" width="12.28515625" style="110" customWidth="1"/>
    <col min="13059" max="13059" width="14.85546875" style="110" customWidth="1"/>
    <col min="13060" max="13060" width="14.42578125" style="110" customWidth="1"/>
    <col min="13061" max="13063" width="15.140625" style="110" customWidth="1"/>
    <col min="13064" max="13064" width="13.7109375" style="110" customWidth="1"/>
    <col min="13065" max="13065" width="16.28515625" style="110" customWidth="1"/>
    <col min="13066" max="13069" width="7.85546875" style="110"/>
    <col min="13070" max="13070" width="14.7109375" style="110" bestFit="1" customWidth="1"/>
    <col min="13071" max="13312" width="7.85546875" style="110"/>
    <col min="13313" max="13313" width="26.42578125" style="110" customWidth="1"/>
    <col min="13314" max="13314" width="12.28515625" style="110" customWidth="1"/>
    <col min="13315" max="13315" width="14.85546875" style="110" customWidth="1"/>
    <col min="13316" max="13316" width="14.42578125" style="110" customWidth="1"/>
    <col min="13317" max="13319" width="15.140625" style="110" customWidth="1"/>
    <col min="13320" max="13320" width="13.7109375" style="110" customWidth="1"/>
    <col min="13321" max="13321" width="16.28515625" style="110" customWidth="1"/>
    <col min="13322" max="13325" width="7.85546875" style="110"/>
    <col min="13326" max="13326" width="14.7109375" style="110" bestFit="1" customWidth="1"/>
    <col min="13327" max="13568" width="7.85546875" style="110"/>
    <col min="13569" max="13569" width="26.42578125" style="110" customWidth="1"/>
    <col min="13570" max="13570" width="12.28515625" style="110" customWidth="1"/>
    <col min="13571" max="13571" width="14.85546875" style="110" customWidth="1"/>
    <col min="13572" max="13572" width="14.42578125" style="110" customWidth="1"/>
    <col min="13573" max="13575" width="15.140625" style="110" customWidth="1"/>
    <col min="13576" max="13576" width="13.7109375" style="110" customWidth="1"/>
    <col min="13577" max="13577" width="16.28515625" style="110" customWidth="1"/>
    <col min="13578" max="13581" width="7.85546875" style="110"/>
    <col min="13582" max="13582" width="14.7109375" style="110" bestFit="1" customWidth="1"/>
    <col min="13583" max="13824" width="7.85546875" style="110"/>
    <col min="13825" max="13825" width="26.42578125" style="110" customWidth="1"/>
    <col min="13826" max="13826" width="12.28515625" style="110" customWidth="1"/>
    <col min="13827" max="13827" width="14.85546875" style="110" customWidth="1"/>
    <col min="13828" max="13828" width="14.42578125" style="110" customWidth="1"/>
    <col min="13829" max="13831" width="15.140625" style="110" customWidth="1"/>
    <col min="13832" max="13832" width="13.7109375" style="110" customWidth="1"/>
    <col min="13833" max="13833" width="16.28515625" style="110" customWidth="1"/>
    <col min="13834" max="13837" width="7.85546875" style="110"/>
    <col min="13838" max="13838" width="14.7109375" style="110" bestFit="1" customWidth="1"/>
    <col min="13839" max="14080" width="7.85546875" style="110"/>
    <col min="14081" max="14081" width="26.42578125" style="110" customWidth="1"/>
    <col min="14082" max="14082" width="12.28515625" style="110" customWidth="1"/>
    <col min="14083" max="14083" width="14.85546875" style="110" customWidth="1"/>
    <col min="14084" max="14084" width="14.42578125" style="110" customWidth="1"/>
    <col min="14085" max="14087" width="15.140625" style="110" customWidth="1"/>
    <col min="14088" max="14088" width="13.7109375" style="110" customWidth="1"/>
    <col min="14089" max="14089" width="16.28515625" style="110" customWidth="1"/>
    <col min="14090" max="14093" width="7.85546875" style="110"/>
    <col min="14094" max="14094" width="14.7109375" style="110" bestFit="1" customWidth="1"/>
    <col min="14095" max="14336" width="7.85546875" style="110"/>
    <col min="14337" max="14337" width="26.42578125" style="110" customWidth="1"/>
    <col min="14338" max="14338" width="12.28515625" style="110" customWidth="1"/>
    <col min="14339" max="14339" width="14.85546875" style="110" customWidth="1"/>
    <col min="14340" max="14340" width="14.42578125" style="110" customWidth="1"/>
    <col min="14341" max="14343" width="15.140625" style="110" customWidth="1"/>
    <col min="14344" max="14344" width="13.7109375" style="110" customWidth="1"/>
    <col min="14345" max="14345" width="16.28515625" style="110" customWidth="1"/>
    <col min="14346" max="14349" width="7.85546875" style="110"/>
    <col min="14350" max="14350" width="14.7109375" style="110" bestFit="1" customWidth="1"/>
    <col min="14351" max="14592" width="7.85546875" style="110"/>
    <col min="14593" max="14593" width="26.42578125" style="110" customWidth="1"/>
    <col min="14594" max="14594" width="12.28515625" style="110" customWidth="1"/>
    <col min="14595" max="14595" width="14.85546875" style="110" customWidth="1"/>
    <col min="14596" max="14596" width="14.42578125" style="110" customWidth="1"/>
    <col min="14597" max="14599" width="15.140625" style="110" customWidth="1"/>
    <col min="14600" max="14600" width="13.7109375" style="110" customWidth="1"/>
    <col min="14601" max="14601" width="16.28515625" style="110" customWidth="1"/>
    <col min="14602" max="14605" width="7.85546875" style="110"/>
    <col min="14606" max="14606" width="14.7109375" style="110" bestFit="1" customWidth="1"/>
    <col min="14607" max="14848" width="7.85546875" style="110"/>
    <col min="14849" max="14849" width="26.42578125" style="110" customWidth="1"/>
    <col min="14850" max="14850" width="12.28515625" style="110" customWidth="1"/>
    <col min="14851" max="14851" width="14.85546875" style="110" customWidth="1"/>
    <col min="14852" max="14852" width="14.42578125" style="110" customWidth="1"/>
    <col min="14853" max="14855" width="15.140625" style="110" customWidth="1"/>
    <col min="14856" max="14856" width="13.7109375" style="110" customWidth="1"/>
    <col min="14857" max="14857" width="16.28515625" style="110" customWidth="1"/>
    <col min="14858" max="14861" width="7.85546875" style="110"/>
    <col min="14862" max="14862" width="14.7109375" style="110" bestFit="1" customWidth="1"/>
    <col min="14863" max="15104" width="7.85546875" style="110"/>
    <col min="15105" max="15105" width="26.42578125" style="110" customWidth="1"/>
    <col min="15106" max="15106" width="12.28515625" style="110" customWidth="1"/>
    <col min="15107" max="15107" width="14.85546875" style="110" customWidth="1"/>
    <col min="15108" max="15108" width="14.42578125" style="110" customWidth="1"/>
    <col min="15109" max="15111" width="15.140625" style="110" customWidth="1"/>
    <col min="15112" max="15112" width="13.7109375" style="110" customWidth="1"/>
    <col min="15113" max="15113" width="16.28515625" style="110" customWidth="1"/>
    <col min="15114" max="15117" width="7.85546875" style="110"/>
    <col min="15118" max="15118" width="14.7109375" style="110" bestFit="1" customWidth="1"/>
    <col min="15119" max="15360" width="7.85546875" style="110"/>
    <col min="15361" max="15361" width="26.42578125" style="110" customWidth="1"/>
    <col min="15362" max="15362" width="12.28515625" style="110" customWidth="1"/>
    <col min="15363" max="15363" width="14.85546875" style="110" customWidth="1"/>
    <col min="15364" max="15364" width="14.42578125" style="110" customWidth="1"/>
    <col min="15365" max="15367" width="15.140625" style="110" customWidth="1"/>
    <col min="15368" max="15368" width="13.7109375" style="110" customWidth="1"/>
    <col min="15369" max="15369" width="16.28515625" style="110" customWidth="1"/>
    <col min="15370" max="15373" width="7.85546875" style="110"/>
    <col min="15374" max="15374" width="14.7109375" style="110" bestFit="1" customWidth="1"/>
    <col min="15375" max="15616" width="7.85546875" style="110"/>
    <col min="15617" max="15617" width="26.42578125" style="110" customWidth="1"/>
    <col min="15618" max="15618" width="12.28515625" style="110" customWidth="1"/>
    <col min="15619" max="15619" width="14.85546875" style="110" customWidth="1"/>
    <col min="15620" max="15620" width="14.42578125" style="110" customWidth="1"/>
    <col min="15621" max="15623" width="15.140625" style="110" customWidth="1"/>
    <col min="15624" max="15624" width="13.7109375" style="110" customWidth="1"/>
    <col min="15625" max="15625" width="16.28515625" style="110" customWidth="1"/>
    <col min="15626" max="15629" width="7.85546875" style="110"/>
    <col min="15630" max="15630" width="14.7109375" style="110" bestFit="1" customWidth="1"/>
    <col min="15631" max="15872" width="7.85546875" style="110"/>
    <col min="15873" max="15873" width="26.42578125" style="110" customWidth="1"/>
    <col min="15874" max="15874" width="12.28515625" style="110" customWidth="1"/>
    <col min="15875" max="15875" width="14.85546875" style="110" customWidth="1"/>
    <col min="15876" max="15876" width="14.42578125" style="110" customWidth="1"/>
    <col min="15877" max="15879" width="15.140625" style="110" customWidth="1"/>
    <col min="15880" max="15880" width="13.7109375" style="110" customWidth="1"/>
    <col min="15881" max="15881" width="16.28515625" style="110" customWidth="1"/>
    <col min="15882" max="15885" width="7.85546875" style="110"/>
    <col min="15886" max="15886" width="14.7109375" style="110" bestFit="1" customWidth="1"/>
    <col min="15887" max="16128" width="7.85546875" style="110"/>
    <col min="16129" max="16129" width="26.42578125" style="110" customWidth="1"/>
    <col min="16130" max="16130" width="12.28515625" style="110" customWidth="1"/>
    <col min="16131" max="16131" width="14.85546875" style="110" customWidth="1"/>
    <col min="16132" max="16132" width="14.42578125" style="110" customWidth="1"/>
    <col min="16133" max="16135" width="15.140625" style="110" customWidth="1"/>
    <col min="16136" max="16136" width="13.7109375" style="110" customWidth="1"/>
    <col min="16137" max="16137" width="16.28515625" style="110" customWidth="1"/>
    <col min="16138" max="16141" width="7.85546875" style="110"/>
    <col min="16142" max="16142" width="14.7109375" style="110" bestFit="1" customWidth="1"/>
    <col min="16143" max="16384" width="7.85546875" style="110"/>
  </cols>
  <sheetData>
    <row r="1" spans="1:14" x14ac:dyDescent="0.2">
      <c r="F1" s="110" t="s">
        <v>176</v>
      </c>
    </row>
    <row r="4" spans="1:14" x14ac:dyDescent="0.2">
      <c r="J4" s="292"/>
    </row>
    <row r="5" spans="1:14" ht="15.75" customHeight="1" x14ac:dyDescent="0.25">
      <c r="A5" s="316" t="s">
        <v>105</v>
      </c>
      <c r="B5" s="316"/>
      <c r="C5" s="316"/>
      <c r="D5" s="316"/>
      <c r="E5" s="316"/>
      <c r="F5" s="316"/>
      <c r="G5" s="316"/>
      <c r="H5" s="316"/>
      <c r="I5" s="316"/>
    </row>
    <row r="6" spans="1:14" s="114" customFormat="1" ht="21.75" customHeight="1" x14ac:dyDescent="0.35">
      <c r="A6" s="111" t="s">
        <v>0</v>
      </c>
      <c r="B6" s="112"/>
      <c r="C6" s="113"/>
      <c r="D6" s="113"/>
      <c r="E6" s="113"/>
      <c r="F6" s="113"/>
      <c r="G6" s="113"/>
      <c r="H6" s="113"/>
      <c r="I6" s="113"/>
    </row>
    <row r="7" spans="1:14" s="116" customFormat="1" ht="15.75" x14ac:dyDescent="0.25">
      <c r="A7" s="115" t="s">
        <v>106</v>
      </c>
    </row>
    <row r="8" spans="1:14" s="118" customFormat="1" ht="25.5" customHeight="1" x14ac:dyDescent="0.2">
      <c r="A8" s="117" t="s">
        <v>3</v>
      </c>
      <c r="B8" s="117" t="s">
        <v>107</v>
      </c>
      <c r="C8" s="117" t="s">
        <v>108</v>
      </c>
      <c r="D8" s="117" t="s">
        <v>109</v>
      </c>
      <c r="E8" s="117" t="s">
        <v>110</v>
      </c>
      <c r="F8" s="117" t="s">
        <v>111</v>
      </c>
      <c r="G8" s="117" t="s">
        <v>112</v>
      </c>
      <c r="H8" s="117" t="s">
        <v>113</v>
      </c>
      <c r="I8" s="117" t="s">
        <v>114</v>
      </c>
      <c r="N8" s="118" t="s">
        <v>172</v>
      </c>
    </row>
    <row r="9" spans="1:14" customFormat="1" ht="17.25" customHeight="1" x14ac:dyDescent="0.25">
      <c r="A9" s="119" t="s">
        <v>115</v>
      </c>
      <c r="B9" s="120"/>
      <c r="C9" s="121"/>
      <c r="D9" s="122"/>
      <c r="E9" s="122"/>
      <c r="F9" s="122"/>
      <c r="G9" s="122"/>
      <c r="H9" s="122"/>
      <c r="I9" s="123"/>
      <c r="K9" s="124"/>
    </row>
    <row r="10" spans="1:14" customFormat="1" ht="12.95" customHeight="1" x14ac:dyDescent="0.25">
      <c r="A10" s="125" t="s">
        <v>66</v>
      </c>
      <c r="B10" s="126">
        <v>1</v>
      </c>
      <c r="C10" s="129">
        <v>40.5</v>
      </c>
      <c r="D10" s="127">
        <v>11</v>
      </c>
      <c r="E10" s="128">
        <v>0</v>
      </c>
      <c r="F10" s="128">
        <f>(((C10*2.2*10)*B10)*1.7+((C10*11*3)*B10)*2)</f>
        <v>4187.7</v>
      </c>
      <c r="G10" s="128">
        <v>0</v>
      </c>
      <c r="H10" s="128">
        <f>C10*220*B10+(220*C10)</f>
        <v>17820</v>
      </c>
      <c r="I10" s="290">
        <f t="shared" ref="I10:I11" si="0">E10+F10+G10+H10</f>
        <v>22007.7</v>
      </c>
      <c r="J10" s="291"/>
      <c r="K10">
        <v>3947.63</v>
      </c>
      <c r="L10">
        <v>3705.57</v>
      </c>
      <c r="N10" s="100">
        <f>80*C10*B10</f>
        <v>3240</v>
      </c>
    </row>
    <row r="11" spans="1:14" customFormat="1" ht="12.95" customHeight="1" x14ac:dyDescent="0.25">
      <c r="A11" s="125" t="s">
        <v>104</v>
      </c>
      <c r="B11" s="126">
        <v>1</v>
      </c>
      <c r="C11" s="289">
        <f>19.24*1.3</f>
        <v>25.012</v>
      </c>
      <c r="D11" s="127">
        <v>11</v>
      </c>
      <c r="E11" s="128">
        <v>0</v>
      </c>
      <c r="F11" s="128">
        <f>(((C11*2.2*10)*B11)*1.7+((C11*11*3)*B11)*2)</f>
        <v>2586.2408</v>
      </c>
      <c r="G11" s="128">
        <v>0</v>
      </c>
      <c r="H11" s="128">
        <f>C11*220*B11+(220*C11)</f>
        <v>11005.28</v>
      </c>
      <c r="I11" s="290">
        <f t="shared" si="0"/>
        <v>13591.5208</v>
      </c>
      <c r="N11" s="100">
        <f>80*C11*B11</f>
        <v>2000.96</v>
      </c>
    </row>
    <row r="12" spans="1:14" customFormat="1" ht="12.95" customHeight="1" x14ac:dyDescent="0.25">
      <c r="A12" s="125" t="s">
        <v>67</v>
      </c>
      <c r="B12" s="126">
        <v>2</v>
      </c>
      <c r="C12" s="129">
        <f>(4070.76/220)*1.04</f>
        <v>19.243592727272727</v>
      </c>
      <c r="D12" s="127" t="s">
        <v>116</v>
      </c>
      <c r="E12" s="128">
        <v>0</v>
      </c>
      <c r="F12" s="128">
        <f t="shared" ref="F12:F16" si="1">(((C12*2.2*10)*B12)*1.7+((C12*11*5)*B12)*2)</f>
        <v>5673.0111360000001</v>
      </c>
      <c r="G12" s="128">
        <f>((C12*8*15)*0.4)*B12/2</f>
        <v>923.69245090909101</v>
      </c>
      <c r="H12" s="128">
        <f t="shared" ref="H12:H16" si="2">C12*220*B12</f>
        <v>8467.1808000000001</v>
      </c>
      <c r="I12" s="290">
        <f t="shared" ref="I12:I16" si="3">E12+F12+G12+H12</f>
        <v>15063.884386909092</v>
      </c>
      <c r="K12">
        <f>K10*1.3</f>
        <v>5131.9189999999999</v>
      </c>
      <c r="L12">
        <f>L10*1.3</f>
        <v>4817.241</v>
      </c>
      <c r="M12" s="110"/>
      <c r="N12" s="100">
        <f t="shared" ref="N12:N22" si="4">170*C12*B12</f>
        <v>6542.8215272727275</v>
      </c>
    </row>
    <row r="13" spans="1:14" customFormat="1" ht="12.95" customHeight="1" x14ac:dyDescent="0.25">
      <c r="A13" s="125" t="s">
        <v>68</v>
      </c>
      <c r="B13" s="126">
        <v>1</v>
      </c>
      <c r="C13" s="129">
        <f>(2366.15/220)*1.04</f>
        <v>11.185436363636365</v>
      </c>
      <c r="D13" s="127">
        <v>11</v>
      </c>
      <c r="E13" s="128">
        <v>0</v>
      </c>
      <c r="F13" s="128">
        <f t="shared" si="1"/>
        <v>1648.7333200000003</v>
      </c>
      <c r="G13" s="128">
        <v>0</v>
      </c>
      <c r="H13" s="128">
        <f t="shared" si="2"/>
        <v>2460.7960000000003</v>
      </c>
      <c r="I13" s="290">
        <f t="shared" si="3"/>
        <v>4109.5293200000006</v>
      </c>
      <c r="K13">
        <v>1.85</v>
      </c>
      <c r="L13">
        <v>1.85</v>
      </c>
      <c r="N13" s="100">
        <f t="shared" si="4"/>
        <v>1901.5241818181821</v>
      </c>
    </row>
    <row r="14" spans="1:14" customFormat="1" ht="12.95" customHeight="1" x14ac:dyDescent="0.25">
      <c r="A14" s="125" t="s">
        <v>76</v>
      </c>
      <c r="B14" s="126">
        <v>1</v>
      </c>
      <c r="C14" s="129">
        <f>(2002/220)*1.04</f>
        <v>9.4640000000000004</v>
      </c>
      <c r="D14" s="127">
        <v>11</v>
      </c>
      <c r="E14" s="128">
        <v>0</v>
      </c>
      <c r="F14" s="128">
        <f t="shared" si="1"/>
        <v>1394.9936</v>
      </c>
      <c r="G14" s="128">
        <v>0</v>
      </c>
      <c r="H14" s="128">
        <f t="shared" si="2"/>
        <v>2082.08</v>
      </c>
      <c r="I14" s="290">
        <f t="shared" si="3"/>
        <v>3477.0735999999997</v>
      </c>
      <c r="J14" s="100"/>
      <c r="K14" s="300">
        <f>K12*K13</f>
        <v>9494.0501500000009</v>
      </c>
      <c r="L14" s="300">
        <f>L12*L13</f>
        <v>8911.8958500000008</v>
      </c>
      <c r="N14" s="100">
        <f>800*C14*B14</f>
        <v>7571.2000000000007</v>
      </c>
    </row>
    <row r="15" spans="1:14" customFormat="1" ht="12.95" customHeight="1" x14ac:dyDescent="0.25">
      <c r="A15" s="125" t="s">
        <v>69</v>
      </c>
      <c r="B15" s="126">
        <v>1</v>
      </c>
      <c r="C15" s="129">
        <v>33.28</v>
      </c>
      <c r="D15" s="127">
        <v>11</v>
      </c>
      <c r="E15" s="128">
        <v>0</v>
      </c>
      <c r="F15" s="128">
        <f t="shared" si="1"/>
        <v>4905.4719999999998</v>
      </c>
      <c r="G15" s="128">
        <f>((C15*8*15)*0.4)*B15</f>
        <v>1597.4400000000003</v>
      </c>
      <c r="H15" s="128">
        <f t="shared" si="2"/>
        <v>7321.6</v>
      </c>
      <c r="I15" s="290">
        <f t="shared" si="3"/>
        <v>13824.512000000001</v>
      </c>
      <c r="J15" s="101"/>
      <c r="K15" s="101"/>
      <c r="N15" s="100">
        <f t="shared" si="4"/>
        <v>5657.6</v>
      </c>
    </row>
    <row r="16" spans="1:14" customFormat="1" ht="12.95" customHeight="1" x14ac:dyDescent="0.25">
      <c r="A16" s="125" t="s">
        <v>117</v>
      </c>
      <c r="B16" s="126">
        <v>2</v>
      </c>
      <c r="C16" s="129">
        <v>17.68</v>
      </c>
      <c r="D16" s="127" t="s">
        <v>116</v>
      </c>
      <c r="E16" s="128">
        <v>0</v>
      </c>
      <c r="F16" s="128">
        <f t="shared" si="1"/>
        <v>5212.0640000000003</v>
      </c>
      <c r="G16" s="128">
        <f>((C16*8*15)*0.4)*B16/2</f>
        <v>848.64</v>
      </c>
      <c r="H16" s="128">
        <f t="shared" si="2"/>
        <v>7779.2</v>
      </c>
      <c r="I16" s="290">
        <f t="shared" si="3"/>
        <v>13839.904</v>
      </c>
      <c r="N16" s="100">
        <f>170*C16*1+80*C16*1</f>
        <v>4420</v>
      </c>
    </row>
    <row r="17" spans="1:14" customFormat="1" ht="12.95" customHeight="1" x14ac:dyDescent="0.25">
      <c r="A17" s="130" t="s">
        <v>118</v>
      </c>
      <c r="B17" s="126"/>
      <c r="C17" s="129"/>
      <c r="D17" s="127"/>
      <c r="E17" s="128"/>
      <c r="F17" s="128"/>
      <c r="G17" s="128"/>
      <c r="H17" s="128"/>
      <c r="I17" s="131"/>
      <c r="N17" s="100">
        <f t="shared" si="4"/>
        <v>0</v>
      </c>
    </row>
    <row r="18" spans="1:14" customFormat="1" ht="12.95" customHeight="1" x14ac:dyDescent="0.25">
      <c r="A18" s="125" t="s">
        <v>70</v>
      </c>
      <c r="B18" s="126">
        <v>12</v>
      </c>
      <c r="C18" s="129">
        <f>(2133.56/220)*1.04</f>
        <v>10.085920000000002</v>
      </c>
      <c r="D18" s="127" t="s">
        <v>116</v>
      </c>
      <c r="E18" s="128">
        <v>0</v>
      </c>
      <c r="F18" s="128">
        <f>(((C18*2.2*10)*B18)*1.7+((C18*11*5)*B18)*2)</f>
        <v>17839.975296000004</v>
      </c>
      <c r="G18" s="128">
        <f>((C18*8*15)*0.4)*B18/2</f>
        <v>2904.7449600000009</v>
      </c>
      <c r="H18" s="128">
        <f>C18*220*B18</f>
        <v>26626.828800000003</v>
      </c>
      <c r="I18" s="290">
        <f>E18+F18+G18+H18</f>
        <v>47371.549056000003</v>
      </c>
      <c r="J18" s="110"/>
      <c r="K18" s="110"/>
      <c r="N18" s="100">
        <f>170*C18*7+80*C18*5</f>
        <v>16036.612800000003</v>
      </c>
    </row>
    <row r="19" spans="1:14" customFormat="1" ht="12.95" customHeight="1" x14ac:dyDescent="0.25">
      <c r="A19" s="125" t="s">
        <v>71</v>
      </c>
      <c r="B19" s="126">
        <v>14</v>
      </c>
      <c r="C19" s="129">
        <f>(1114.48/220)*1.04</f>
        <v>5.2684509090909097</v>
      </c>
      <c r="D19" s="127" t="s">
        <v>116</v>
      </c>
      <c r="E19" s="128">
        <v>0</v>
      </c>
      <c r="F19" s="128">
        <f>(((C19*2.2*10)*B19)*1.7+((C19*11*5)*B19)*2)</f>
        <v>10871.975296000002</v>
      </c>
      <c r="G19" s="128">
        <f>((C19*8*15)*0.4)*B19/2</f>
        <v>1770.1995054545455</v>
      </c>
      <c r="H19" s="128">
        <f>C19*220*B19</f>
        <v>16226.828800000003</v>
      </c>
      <c r="I19" s="290">
        <f>E19+F19+G19+H19</f>
        <v>28869.003601454551</v>
      </c>
      <c r="J19" s="110"/>
      <c r="K19" s="110"/>
      <c r="N19" s="100">
        <f t="shared" si="4"/>
        <v>12538.913163636365</v>
      </c>
    </row>
    <row r="20" spans="1:14" customFormat="1" ht="12.95" customHeight="1" x14ac:dyDescent="0.25">
      <c r="A20" s="125" t="s">
        <v>72</v>
      </c>
      <c r="B20" s="126">
        <v>6</v>
      </c>
      <c r="C20" s="129">
        <f>(1913.15/220)*1.04</f>
        <v>9.0439818181818197</v>
      </c>
      <c r="D20" s="127" t="s">
        <v>116</v>
      </c>
      <c r="E20" s="128">
        <v>0</v>
      </c>
      <c r="F20" s="128">
        <f>(((C20*2.2*10)*B20)*1.7+((C20*11*5)*B20)*2)</f>
        <v>7998.4975200000008</v>
      </c>
      <c r="G20" s="128">
        <f>((C20*8*15)*0.4)*B20/2</f>
        <v>1302.3333818181823</v>
      </c>
      <c r="H20" s="128">
        <f>C20*220*B20</f>
        <v>11938.056000000002</v>
      </c>
      <c r="I20" s="290">
        <f>E20+F20+G20+H20</f>
        <v>21238.886901818187</v>
      </c>
      <c r="N20" s="100">
        <f t="shared" si="4"/>
        <v>9224.8614545454566</v>
      </c>
    </row>
    <row r="21" spans="1:14" customFormat="1" ht="12.95" customHeight="1" x14ac:dyDescent="0.25">
      <c r="A21" s="125" t="s">
        <v>73</v>
      </c>
      <c r="B21" s="126">
        <v>2</v>
      </c>
      <c r="C21" s="129">
        <f>(2002/220)*1.04</f>
        <v>9.4640000000000004</v>
      </c>
      <c r="D21" s="127" t="s">
        <v>116</v>
      </c>
      <c r="E21" s="128">
        <v>0</v>
      </c>
      <c r="F21" s="128">
        <f>(((C21*2.2*10)*B21)*1.7+((C21*11*5)*B21)*2)</f>
        <v>2789.9872</v>
      </c>
      <c r="G21" s="128">
        <f>((C21*8*15)*0.4)*B21/2</f>
        <v>454.27200000000005</v>
      </c>
      <c r="H21" s="128">
        <f>C21*220*B21</f>
        <v>4164.16</v>
      </c>
      <c r="I21" s="290">
        <f>E21+F21+G21+H21</f>
        <v>7408.4192000000003</v>
      </c>
      <c r="K21" s="110"/>
      <c r="N21" s="100">
        <f t="shared" si="4"/>
        <v>3217.76</v>
      </c>
    </row>
    <row r="22" spans="1:14" customFormat="1" ht="12.95" customHeight="1" x14ac:dyDescent="0.25">
      <c r="A22" s="125" t="s">
        <v>74</v>
      </c>
      <c r="B22" s="126">
        <v>2</v>
      </c>
      <c r="C22" s="129">
        <f>(2002/220)*1.04</f>
        <v>9.4640000000000004</v>
      </c>
      <c r="D22" s="127" t="s">
        <v>116</v>
      </c>
      <c r="E22" s="128">
        <v>0</v>
      </c>
      <c r="F22" s="128">
        <f>(((C22*2.2*10)*B22)*1.7+((C22*11*5)*B22)*2)</f>
        <v>2789.9872</v>
      </c>
      <c r="G22" s="128">
        <f>((C22*8*15)*0.4)*B22/2</f>
        <v>454.27200000000005</v>
      </c>
      <c r="H22" s="128">
        <f>C22*220*B22</f>
        <v>4164.16</v>
      </c>
      <c r="I22" s="290">
        <f>E22+F22+G22+H22</f>
        <v>7408.4192000000003</v>
      </c>
      <c r="N22" s="100">
        <f t="shared" si="4"/>
        <v>3217.76</v>
      </c>
    </row>
    <row r="23" spans="1:14" customFormat="1" ht="12.95" customHeight="1" x14ac:dyDescent="0.25">
      <c r="A23" s="132"/>
      <c r="B23" s="126"/>
      <c r="C23" s="133"/>
      <c r="D23" s="127"/>
      <c r="E23" s="127"/>
      <c r="F23" s="127"/>
      <c r="G23" s="127"/>
      <c r="H23" s="134"/>
      <c r="I23" s="135"/>
      <c r="N23" s="287">
        <f>SUM(N10:N22)</f>
        <v>75570.01312727273</v>
      </c>
    </row>
    <row r="24" spans="1:14" customFormat="1" ht="12.95" customHeight="1" x14ac:dyDescent="0.25">
      <c r="A24" s="130"/>
      <c r="B24" s="136"/>
      <c r="C24" s="133"/>
      <c r="D24" s="127"/>
      <c r="E24" s="127"/>
      <c r="F24" s="127"/>
      <c r="G24" s="127"/>
      <c r="H24" s="127"/>
      <c r="I24" s="137"/>
    </row>
    <row r="25" spans="1:14" customFormat="1" ht="12.95" customHeight="1" x14ac:dyDescent="0.25">
      <c r="A25" s="138"/>
      <c r="B25" s="139"/>
      <c r="C25" s="133"/>
      <c r="D25" s="127"/>
      <c r="E25" s="140"/>
      <c r="F25" s="140"/>
      <c r="G25" s="140"/>
      <c r="H25" s="134"/>
      <c r="I25" s="135"/>
    </row>
    <row r="26" spans="1:14" customFormat="1" ht="14.1" customHeight="1" x14ac:dyDescent="0.25">
      <c r="A26" s="141" t="s">
        <v>119</v>
      </c>
      <c r="B26" s="142"/>
      <c r="C26" s="143"/>
      <c r="D26" s="144"/>
      <c r="E26" s="144"/>
      <c r="F26" s="144"/>
      <c r="G26" s="144"/>
      <c r="H26" s="144"/>
      <c r="I26" s="145"/>
    </row>
    <row r="27" spans="1:14" s="116" customFormat="1" ht="14.25" customHeight="1" x14ac:dyDescent="0.2">
      <c r="C27" s="146"/>
      <c r="D27" s="317" t="s">
        <v>120</v>
      </c>
      <c r="E27" s="318"/>
      <c r="F27" s="318"/>
      <c r="G27" s="318"/>
      <c r="H27" s="319"/>
      <c r="I27" s="147">
        <f>SUM(I10:I25)</f>
        <v>198210.40206618185</v>
      </c>
    </row>
    <row r="28" spans="1:14" s="116" customFormat="1" ht="17.25" customHeight="1" x14ac:dyDescent="0.25">
      <c r="A28" s="115" t="s">
        <v>121</v>
      </c>
    </row>
    <row r="29" spans="1:14" s="116" customFormat="1" ht="13.5" customHeight="1" x14ac:dyDescent="0.2">
      <c r="A29" s="148" t="s">
        <v>122</v>
      </c>
      <c r="B29" s="149" t="s">
        <v>123</v>
      </c>
      <c r="C29" s="150" t="s">
        <v>124</v>
      </c>
      <c r="D29" s="151"/>
      <c r="E29" s="151"/>
      <c r="F29" s="151"/>
      <c r="G29" s="151"/>
      <c r="H29" s="151"/>
    </row>
    <row r="30" spans="1:14" s="116" customFormat="1" ht="15.75" hidden="1" customHeight="1" x14ac:dyDescent="0.2">
      <c r="A30" s="152" t="s">
        <v>125</v>
      </c>
      <c r="B30" s="153"/>
      <c r="C30" s="154"/>
      <c r="D30" s="155"/>
      <c r="E30" s="155"/>
      <c r="F30" s="155"/>
      <c r="G30" s="155"/>
      <c r="H30" s="155"/>
    </row>
    <row r="31" spans="1:14" s="116" customFormat="1" ht="12.75" hidden="1" x14ac:dyDescent="0.2">
      <c r="A31" s="156" t="s">
        <v>126</v>
      </c>
      <c r="B31" s="157">
        <v>0.2</v>
      </c>
      <c r="C31" s="158">
        <f>I27*B31</f>
        <v>39642.08041323637</v>
      </c>
      <c r="D31" s="155"/>
      <c r="E31" s="155"/>
      <c r="F31" s="155"/>
      <c r="G31" s="155"/>
      <c r="H31" s="155"/>
    </row>
    <row r="32" spans="1:14" s="116" customFormat="1" ht="12.75" hidden="1" x14ac:dyDescent="0.2">
      <c r="A32" s="156" t="s">
        <v>127</v>
      </c>
      <c r="B32" s="157">
        <v>8.5000000000000006E-2</v>
      </c>
      <c r="C32" s="158">
        <f>I27*B32</f>
        <v>16847.884175625459</v>
      </c>
      <c r="D32" s="159"/>
      <c r="E32" s="159"/>
      <c r="F32" s="159"/>
      <c r="G32" s="159"/>
      <c r="H32" s="155"/>
    </row>
    <row r="33" spans="1:8" s="116" customFormat="1" ht="12.75" hidden="1" x14ac:dyDescent="0.2">
      <c r="A33" s="156"/>
      <c r="B33" s="157"/>
      <c r="C33" s="158"/>
      <c r="D33" s="159"/>
      <c r="E33" s="159"/>
      <c r="F33" s="159"/>
      <c r="G33" s="159"/>
      <c r="H33" s="155"/>
    </row>
    <row r="34" spans="1:8" s="116" customFormat="1" ht="15.75" hidden="1" customHeight="1" x14ac:dyDescent="0.2">
      <c r="A34" s="160" t="s">
        <v>128</v>
      </c>
      <c r="B34" s="161"/>
      <c r="C34" s="162"/>
      <c r="D34" s="155"/>
      <c r="E34" s="155"/>
      <c r="F34" s="155"/>
      <c r="G34" s="155"/>
      <c r="H34" s="155"/>
    </row>
    <row r="35" spans="1:8" s="116" customFormat="1" ht="12.95" hidden="1" customHeight="1" x14ac:dyDescent="0.2">
      <c r="A35" s="156" t="s">
        <v>129</v>
      </c>
      <c r="B35" s="157">
        <v>0.1091</v>
      </c>
      <c r="C35" s="158">
        <f>I27*B35</f>
        <v>21624.75486542044</v>
      </c>
      <c r="D35" s="155"/>
      <c r="E35" s="155"/>
      <c r="F35" s="155"/>
      <c r="G35" s="155"/>
      <c r="H35" s="155"/>
    </row>
    <row r="36" spans="1:8" s="116" customFormat="1" ht="12.75" hidden="1" x14ac:dyDescent="0.2">
      <c r="A36" s="156" t="s">
        <v>130</v>
      </c>
      <c r="B36" s="157">
        <v>9.4500000000000001E-2</v>
      </c>
      <c r="C36" s="158">
        <f>I27*B36</f>
        <v>18730.882995254186</v>
      </c>
      <c r="D36" s="155"/>
      <c r="E36" s="155"/>
      <c r="F36" s="155"/>
      <c r="G36" s="155"/>
      <c r="H36" s="155"/>
    </row>
    <row r="37" spans="1:8" s="116" customFormat="1" ht="12.75" hidden="1" x14ac:dyDescent="0.2">
      <c r="A37" s="156" t="s">
        <v>131</v>
      </c>
      <c r="B37" s="163">
        <v>5.4999999999999997E-3</v>
      </c>
      <c r="C37" s="158">
        <f>I27*B37</f>
        <v>1090.1572113640002</v>
      </c>
      <c r="D37" s="155"/>
      <c r="E37" s="155"/>
      <c r="F37" s="155"/>
      <c r="G37" s="155"/>
      <c r="H37" s="155"/>
    </row>
    <row r="38" spans="1:8" s="116" customFormat="1" ht="12.75" hidden="1" x14ac:dyDescent="0.2">
      <c r="A38" s="156" t="s">
        <v>132</v>
      </c>
      <c r="B38" s="157">
        <v>0.5</v>
      </c>
      <c r="C38" s="158">
        <f>I27*B38</f>
        <v>99105.201033090925</v>
      </c>
      <c r="D38" s="155"/>
      <c r="E38" s="155"/>
      <c r="F38" s="155"/>
      <c r="G38" s="155"/>
      <c r="H38" s="155"/>
    </row>
    <row r="39" spans="1:8" s="116" customFormat="1" ht="12.75" hidden="1" x14ac:dyDescent="0.2">
      <c r="A39" s="156"/>
      <c r="B39" s="164"/>
      <c r="C39" s="158"/>
      <c r="D39" s="155"/>
      <c r="E39" s="155"/>
      <c r="F39" s="155"/>
      <c r="G39" s="155"/>
      <c r="H39" s="155"/>
    </row>
    <row r="40" spans="1:8" s="116" customFormat="1" ht="15.75" hidden="1" customHeight="1" x14ac:dyDescent="0.2">
      <c r="A40" s="160" t="s">
        <v>133</v>
      </c>
      <c r="B40" s="161"/>
      <c r="C40" s="165"/>
      <c r="D40" s="155"/>
      <c r="E40" s="155"/>
      <c r="F40" s="155"/>
      <c r="G40" s="155"/>
      <c r="H40" s="155"/>
    </row>
    <row r="41" spans="1:8" s="116" customFormat="1" ht="10.5" hidden="1" customHeight="1" x14ac:dyDescent="0.2">
      <c r="A41" s="160"/>
      <c r="B41" s="161"/>
      <c r="C41" s="165"/>
      <c r="D41" s="155"/>
      <c r="E41" s="155"/>
      <c r="F41" s="155"/>
      <c r="G41" s="155"/>
      <c r="H41" s="155"/>
    </row>
    <row r="42" spans="1:8" s="116" customFormat="1" ht="12.95" hidden="1" customHeight="1" x14ac:dyDescent="0.2">
      <c r="A42" s="156" t="s">
        <v>134</v>
      </c>
      <c r="B42" s="157">
        <v>7.9299999999999995E-2</v>
      </c>
      <c r="C42" s="158">
        <f>I27*B42</f>
        <v>15718.08488384822</v>
      </c>
      <c r="D42" s="155"/>
      <c r="E42" s="155"/>
      <c r="F42" s="155"/>
      <c r="G42" s="155"/>
      <c r="H42" s="155"/>
    </row>
    <row r="43" spans="1:8" s="116" customFormat="1" ht="12.95" hidden="1" customHeight="1" x14ac:dyDescent="0.2">
      <c r="A43" s="156"/>
      <c r="B43" s="157"/>
      <c r="C43" s="158"/>
      <c r="D43" s="155"/>
      <c r="E43" s="155"/>
      <c r="F43" s="155"/>
      <c r="G43" s="155"/>
      <c r="H43" s="155"/>
    </row>
    <row r="44" spans="1:8" s="116" customFormat="1" ht="15.75" hidden="1" customHeight="1" x14ac:dyDescent="0.2">
      <c r="A44" s="160" t="s">
        <v>135</v>
      </c>
      <c r="B44" s="161"/>
      <c r="C44" s="165"/>
      <c r="D44" s="155"/>
      <c r="E44" s="155"/>
      <c r="F44" s="155"/>
      <c r="G44" s="155"/>
      <c r="H44" s="155"/>
    </row>
    <row r="45" spans="1:8" s="116" customFormat="1" ht="8.25" hidden="1" customHeight="1" x14ac:dyDescent="0.2">
      <c r="A45" s="160"/>
      <c r="B45" s="166"/>
      <c r="C45" s="165"/>
      <c r="D45" s="155"/>
      <c r="E45" s="155"/>
      <c r="F45" s="155"/>
      <c r="G45" s="155"/>
      <c r="H45" s="155"/>
    </row>
    <row r="46" spans="1:8" s="116" customFormat="1" ht="12.95" hidden="1" customHeight="1" x14ac:dyDescent="0.2">
      <c r="A46" s="156" t="s">
        <v>136</v>
      </c>
      <c r="B46" s="167" t="s">
        <v>137</v>
      </c>
      <c r="C46" s="158">
        <f>50/100*C32</f>
        <v>8423.9420878127294</v>
      </c>
      <c r="D46" s="155"/>
      <c r="E46" s="155"/>
      <c r="F46" s="155"/>
      <c r="G46" s="155"/>
      <c r="H46" s="155"/>
    </row>
    <row r="47" spans="1:8" s="116" customFormat="1" ht="12.75" hidden="1" x14ac:dyDescent="0.2">
      <c r="A47" s="168"/>
      <c r="B47" s="169"/>
      <c r="C47" s="170"/>
      <c r="D47" s="155"/>
      <c r="E47" s="155"/>
      <c r="F47" s="155"/>
      <c r="G47" s="155"/>
      <c r="H47" s="155"/>
    </row>
    <row r="48" spans="1:8" s="116" customFormat="1" ht="14.25" customHeight="1" x14ac:dyDescent="0.2">
      <c r="A48" s="171" t="s">
        <v>138</v>
      </c>
      <c r="B48" s="172"/>
      <c r="C48" s="173">
        <f>SUM(C31:C47)</f>
        <v>221182.98766565233</v>
      </c>
      <c r="D48" s="174"/>
      <c r="E48" s="175"/>
      <c r="F48" s="175"/>
      <c r="G48" s="175"/>
      <c r="H48" s="176"/>
    </row>
    <row r="49" spans="1:9" s="116" customFormat="1" ht="7.5" customHeight="1" x14ac:dyDescent="0.2">
      <c r="B49" s="151"/>
    </row>
    <row r="50" spans="1:9" s="116" customFormat="1" ht="14.25" customHeight="1" x14ac:dyDescent="0.2">
      <c r="A50" s="177"/>
      <c r="C50" s="178"/>
      <c r="D50" s="320" t="s">
        <v>139</v>
      </c>
      <c r="E50" s="321"/>
      <c r="F50" s="179"/>
      <c r="G50" s="179"/>
      <c r="H50" s="322">
        <f>C48+I27</f>
        <v>419393.38973183418</v>
      </c>
      <c r="I50" s="323"/>
    </row>
    <row r="51" spans="1:9" customFormat="1" ht="20.25" customHeight="1" x14ac:dyDescent="0.25">
      <c r="A51" s="115" t="s">
        <v>140</v>
      </c>
      <c r="B51" s="116"/>
      <c r="C51" s="116"/>
      <c r="D51" s="116"/>
      <c r="E51" s="116"/>
      <c r="F51" s="116"/>
      <c r="G51" s="116"/>
      <c r="H51" s="116"/>
    </row>
    <row r="52" spans="1:9" customFormat="1" ht="24" customHeight="1" x14ac:dyDescent="0.25">
      <c r="A52" s="117" t="s">
        <v>18</v>
      </c>
      <c r="B52" s="117" t="s">
        <v>141</v>
      </c>
      <c r="C52" s="117" t="s">
        <v>28</v>
      </c>
      <c r="D52" s="180" t="s">
        <v>142</v>
      </c>
      <c r="E52" s="181"/>
      <c r="F52" s="182"/>
      <c r="G52" s="182"/>
      <c r="H52" s="182"/>
    </row>
    <row r="53" spans="1:9" customFormat="1" ht="12" customHeight="1" x14ac:dyDescent="0.25">
      <c r="A53" s="183" t="s">
        <v>30</v>
      </c>
      <c r="B53" s="184">
        <v>400</v>
      </c>
      <c r="C53" s="185">
        <v>38</v>
      </c>
      <c r="D53" s="186">
        <f>B53*C53</f>
        <v>15200</v>
      </c>
      <c r="E53" s="187"/>
      <c r="F53" s="188"/>
      <c r="G53" s="188"/>
      <c r="H53" s="189"/>
      <c r="I53" s="174"/>
    </row>
    <row r="54" spans="1:9" customFormat="1" ht="12" customHeight="1" x14ac:dyDescent="0.25">
      <c r="A54" s="190" t="s">
        <v>92</v>
      </c>
      <c r="B54" s="191">
        <v>330</v>
      </c>
      <c r="C54" s="192">
        <v>38</v>
      </c>
      <c r="D54" s="186">
        <f>B54*C54</f>
        <v>12540</v>
      </c>
      <c r="E54" s="187"/>
      <c r="F54" s="188"/>
      <c r="G54" s="188"/>
      <c r="H54" s="189"/>
      <c r="I54" s="174"/>
    </row>
    <row r="55" spans="1:9" customFormat="1" ht="12" customHeight="1" x14ac:dyDescent="0.25">
      <c r="A55" s="190" t="s">
        <v>93</v>
      </c>
      <c r="B55" s="191">
        <v>40.1</v>
      </c>
      <c r="C55" s="192">
        <v>38</v>
      </c>
      <c r="D55" s="186">
        <f>B55*C55</f>
        <v>1523.8</v>
      </c>
      <c r="E55" s="187"/>
      <c r="F55" s="188"/>
      <c r="G55" s="188"/>
      <c r="H55" s="189"/>
      <c r="I55" s="174"/>
    </row>
    <row r="56" spans="1:9" customFormat="1" ht="12" customHeight="1" x14ac:dyDescent="0.25">
      <c r="A56" s="183" t="s">
        <v>143</v>
      </c>
      <c r="B56" s="184" t="s">
        <v>83</v>
      </c>
      <c r="C56" s="193">
        <f>(38*2)*100+38*450</f>
        <v>24700</v>
      </c>
      <c r="D56" s="186">
        <f>C56</f>
        <v>24700</v>
      </c>
      <c r="E56" s="187"/>
      <c r="F56" s="188"/>
      <c r="G56" s="188"/>
      <c r="H56" s="189"/>
      <c r="I56" s="174"/>
    </row>
    <row r="57" spans="1:9" customFormat="1" ht="12.95" customHeight="1" x14ac:dyDescent="0.25">
      <c r="A57" s="194" t="s">
        <v>94</v>
      </c>
      <c r="B57" s="184">
        <v>452.67</v>
      </c>
      <c r="C57" s="195">
        <v>38</v>
      </c>
      <c r="D57" s="186">
        <f>B57*C57</f>
        <v>17201.46</v>
      </c>
      <c r="E57" s="187"/>
      <c r="F57" s="188"/>
      <c r="G57" s="188"/>
      <c r="H57" s="189"/>
      <c r="I57" s="174"/>
    </row>
    <row r="58" spans="1:9" customFormat="1" ht="12.95" customHeight="1" x14ac:dyDescent="0.25">
      <c r="A58" s="194" t="s">
        <v>95</v>
      </c>
      <c r="B58" s="184" t="s">
        <v>83</v>
      </c>
      <c r="C58" s="185">
        <v>4400</v>
      </c>
      <c r="D58" s="186">
        <f>C58</f>
        <v>4400</v>
      </c>
      <c r="E58" s="187"/>
      <c r="F58" s="188"/>
      <c r="G58" s="188"/>
      <c r="H58" s="189"/>
      <c r="I58" s="174"/>
    </row>
    <row r="59" spans="1:9" customFormat="1" ht="12.95" customHeight="1" x14ac:dyDescent="0.25">
      <c r="A59" s="194" t="s">
        <v>144</v>
      </c>
      <c r="B59" s="184" t="s">
        <v>83</v>
      </c>
      <c r="C59" s="195">
        <v>2800</v>
      </c>
      <c r="D59" s="186">
        <f>C59</f>
        <v>2800</v>
      </c>
      <c r="E59" s="187"/>
      <c r="F59" s="188"/>
      <c r="G59" s="188"/>
      <c r="H59" s="189"/>
      <c r="I59" s="174"/>
    </row>
    <row r="60" spans="1:9" customFormat="1" ht="12.95" customHeight="1" x14ac:dyDescent="0.25">
      <c r="A60" s="194"/>
      <c r="B60" s="184"/>
      <c r="C60" s="196"/>
      <c r="D60" s="197"/>
      <c r="E60" s="198"/>
      <c r="F60" s="199"/>
      <c r="G60" s="199"/>
      <c r="H60" s="200"/>
      <c r="I60" s="174"/>
    </row>
    <row r="61" spans="1:9" customFormat="1" ht="14.25" customHeight="1" x14ac:dyDescent="0.25">
      <c r="B61" s="201" t="s">
        <v>145</v>
      </c>
      <c r="C61" s="201"/>
      <c r="D61" s="202">
        <f>SUM(D53:D59,)</f>
        <v>78365.260000000009</v>
      </c>
      <c r="E61" s="324"/>
      <c r="F61" s="325"/>
      <c r="G61" s="325"/>
      <c r="H61" s="325"/>
    </row>
    <row r="62" spans="1:9" s="116" customFormat="1" ht="7.5" customHeight="1" x14ac:dyDescent="0.2">
      <c r="B62" s="151"/>
    </row>
    <row r="63" spans="1:9" s="116" customFormat="1" ht="14.25" customHeight="1" x14ac:dyDescent="0.2">
      <c r="A63" s="177"/>
      <c r="C63" s="203" t="s">
        <v>146</v>
      </c>
      <c r="D63" s="203"/>
      <c r="E63" s="204"/>
      <c r="F63" s="205"/>
      <c r="G63" s="205"/>
      <c r="H63" s="322">
        <f>H50+D61</f>
        <v>497758.64973183419</v>
      </c>
      <c r="I63" s="323"/>
    </row>
    <row r="64" spans="1:9" s="116" customFormat="1" ht="21" customHeight="1" x14ac:dyDescent="0.25">
      <c r="A64" s="115" t="s">
        <v>147</v>
      </c>
    </row>
    <row r="65" spans="1:8" s="116" customFormat="1" ht="24" customHeight="1" x14ac:dyDescent="0.25">
      <c r="A65" s="206" t="s">
        <v>18</v>
      </c>
      <c r="B65" s="207" t="s">
        <v>19</v>
      </c>
      <c r="C65" s="207" t="s">
        <v>20</v>
      </c>
      <c r="D65" s="208" t="s">
        <v>148</v>
      </c>
      <c r="E65" s="209"/>
      <c r="F65" s="210"/>
      <c r="G65" s="210"/>
      <c r="H65"/>
    </row>
    <row r="66" spans="1:8" s="116" customFormat="1" ht="12.95" customHeight="1" x14ac:dyDescent="0.25">
      <c r="A66" s="211" t="s">
        <v>77</v>
      </c>
      <c r="B66" s="212">
        <v>1</v>
      </c>
      <c r="C66" s="213">
        <v>1400</v>
      </c>
      <c r="D66" s="214">
        <f t="shared" ref="D66:D71" si="5">C66*B66</f>
        <v>1400</v>
      </c>
      <c r="E66" s="215"/>
      <c r="F66" s="216"/>
      <c r="G66" s="216"/>
      <c r="H66"/>
    </row>
    <row r="67" spans="1:8" s="116" customFormat="1" ht="12.95" customHeight="1" x14ac:dyDescent="0.25">
      <c r="A67" s="211" t="s">
        <v>78</v>
      </c>
      <c r="B67" s="212">
        <v>1</v>
      </c>
      <c r="C67" s="213">
        <v>1000</v>
      </c>
      <c r="D67" s="214">
        <f t="shared" si="5"/>
        <v>1000</v>
      </c>
      <c r="E67" s="215"/>
      <c r="F67" s="216"/>
      <c r="G67" s="216"/>
      <c r="H67"/>
    </row>
    <row r="68" spans="1:8" s="116" customFormat="1" ht="12.95" customHeight="1" x14ac:dyDescent="0.25">
      <c r="A68" s="217" t="s">
        <v>79</v>
      </c>
      <c r="B68" s="212">
        <v>2</v>
      </c>
      <c r="C68" s="213">
        <v>750</v>
      </c>
      <c r="D68" s="214">
        <f t="shared" si="5"/>
        <v>1500</v>
      </c>
      <c r="E68" s="215"/>
      <c r="F68" s="216"/>
      <c r="G68" s="216"/>
      <c r="H68"/>
    </row>
    <row r="69" spans="1:8" s="116" customFormat="1" ht="12.95" customHeight="1" x14ac:dyDescent="0.25">
      <c r="A69" s="211" t="s">
        <v>80</v>
      </c>
      <c r="B69" s="212">
        <v>1</v>
      </c>
      <c r="C69" s="213">
        <v>110</v>
      </c>
      <c r="D69" s="214">
        <f t="shared" si="5"/>
        <v>110</v>
      </c>
      <c r="E69" s="215"/>
      <c r="F69" s="216"/>
      <c r="G69" s="216"/>
      <c r="H69"/>
    </row>
    <row r="70" spans="1:8" s="116" customFormat="1" ht="12.95" customHeight="1" x14ac:dyDescent="0.25">
      <c r="A70" s="211" t="s">
        <v>81</v>
      </c>
      <c r="B70" s="212">
        <v>1</v>
      </c>
      <c r="C70" s="213">
        <v>110</v>
      </c>
      <c r="D70" s="214">
        <f t="shared" si="5"/>
        <v>110</v>
      </c>
      <c r="E70" s="215"/>
      <c r="F70" s="216"/>
      <c r="G70" s="216"/>
      <c r="H70"/>
    </row>
    <row r="71" spans="1:8" s="116" customFormat="1" ht="12.95" customHeight="1" x14ac:dyDescent="0.25">
      <c r="A71" s="211" t="s">
        <v>82</v>
      </c>
      <c r="B71" s="212">
        <v>6</v>
      </c>
      <c r="C71" s="213">
        <v>250</v>
      </c>
      <c r="D71" s="214">
        <f t="shared" si="5"/>
        <v>1500</v>
      </c>
      <c r="E71" s="215"/>
      <c r="F71" s="216"/>
      <c r="G71" s="216"/>
      <c r="H71"/>
    </row>
    <row r="72" spans="1:8" s="116" customFormat="1" ht="12.95" customHeight="1" x14ac:dyDescent="0.25">
      <c r="A72" s="211" t="s">
        <v>149</v>
      </c>
      <c r="B72" s="212" t="s">
        <v>83</v>
      </c>
      <c r="C72" s="213">
        <v>5000</v>
      </c>
      <c r="D72" s="214">
        <f>C72</f>
        <v>5000</v>
      </c>
      <c r="E72" s="215"/>
      <c r="F72" s="216"/>
      <c r="G72" s="216"/>
      <c r="H72"/>
    </row>
    <row r="73" spans="1:8" s="116" customFormat="1" ht="12.95" customHeight="1" x14ac:dyDescent="0.25">
      <c r="A73" s="218" t="s">
        <v>84</v>
      </c>
      <c r="B73" s="219" t="s">
        <v>83</v>
      </c>
      <c r="C73" s="220">
        <v>4000</v>
      </c>
      <c r="D73" s="214">
        <f>C73</f>
        <v>4000</v>
      </c>
      <c r="E73" s="215"/>
      <c r="F73" s="216"/>
      <c r="G73" s="216"/>
      <c r="H73"/>
    </row>
    <row r="74" spans="1:8" s="116" customFormat="1" ht="12.95" customHeight="1" x14ac:dyDescent="0.25">
      <c r="A74" s="221" t="s">
        <v>85</v>
      </c>
      <c r="B74" s="222">
        <v>1</v>
      </c>
      <c r="C74" s="223" t="s">
        <v>83</v>
      </c>
      <c r="D74" s="224">
        <f>9000</f>
        <v>9000</v>
      </c>
      <c r="E74" s="225"/>
      <c r="F74" s="226"/>
      <c r="G74" s="226"/>
      <c r="H74"/>
    </row>
    <row r="75" spans="1:8" s="116" customFormat="1" ht="12.95" customHeight="1" x14ac:dyDescent="0.25">
      <c r="A75" s="227" t="s">
        <v>86</v>
      </c>
      <c r="B75" s="228">
        <v>6</v>
      </c>
      <c r="C75" s="229">
        <v>642</v>
      </c>
      <c r="D75" s="224">
        <f>B75*C75</f>
        <v>3852</v>
      </c>
      <c r="E75" s="225"/>
      <c r="F75" s="226"/>
      <c r="G75" s="226"/>
      <c r="H75"/>
    </row>
    <row r="76" spans="1:8" s="116" customFormat="1" ht="12.95" customHeight="1" x14ac:dyDescent="0.25">
      <c r="A76" s="230" t="s">
        <v>87</v>
      </c>
      <c r="B76" s="231">
        <v>30</v>
      </c>
      <c r="C76" s="232">
        <v>128.4</v>
      </c>
      <c r="D76" s="232">
        <f>B76*C76</f>
        <v>3852</v>
      </c>
      <c r="E76" s="225"/>
      <c r="F76" s="226"/>
      <c r="G76" s="226"/>
      <c r="H76"/>
    </row>
    <row r="77" spans="1:8" s="116" customFormat="1" ht="14.25" customHeight="1" x14ac:dyDescent="0.25">
      <c r="A77" s="233"/>
      <c r="B77" s="326" t="s">
        <v>150</v>
      </c>
      <c r="C77" s="326"/>
      <c r="D77" s="234">
        <f>SUM(D66:D76)</f>
        <v>31324</v>
      </c>
      <c r="E77" s="235"/>
      <c r="F77" s="236"/>
      <c r="G77" s="236"/>
      <c r="H77"/>
    </row>
    <row r="78" spans="1:8" s="116" customFormat="1" ht="14.25" customHeight="1" x14ac:dyDescent="0.25">
      <c r="A78" s="233"/>
      <c r="C78"/>
      <c r="D78"/>
      <c r="E78"/>
      <c r="F78"/>
      <c r="G78"/>
      <c r="H78"/>
    </row>
    <row r="79" spans="1:8" s="116" customFormat="1" ht="14.25" customHeight="1" x14ac:dyDescent="0.25">
      <c r="A79" s="233"/>
      <c r="C79"/>
      <c r="D79"/>
      <c r="E79"/>
      <c r="F79"/>
      <c r="G79"/>
      <c r="H79"/>
    </row>
    <row r="80" spans="1:8" s="116" customFormat="1" ht="14.25" customHeight="1" x14ac:dyDescent="0.25">
      <c r="A80" s="237"/>
      <c r="C80"/>
      <c r="D80"/>
      <c r="E80" s="238"/>
      <c r="F80" s="238"/>
      <c r="G80" s="238"/>
      <c r="H80"/>
    </row>
    <row r="81" spans="1:8" customFormat="1" ht="20.25" customHeight="1" x14ac:dyDescent="0.25">
      <c r="A81" s="115" t="s">
        <v>151</v>
      </c>
      <c r="B81" s="116"/>
      <c r="C81" s="116"/>
      <c r="D81" s="116"/>
      <c r="E81" s="116"/>
      <c r="F81" s="116"/>
      <c r="G81" s="116"/>
      <c r="H81" s="116"/>
    </row>
    <row r="82" spans="1:8" customFormat="1" ht="24" customHeight="1" x14ac:dyDescent="0.25">
      <c r="A82" s="117" t="s">
        <v>18</v>
      </c>
      <c r="B82" s="239" t="s">
        <v>19</v>
      </c>
      <c r="C82" s="239" t="s">
        <v>20</v>
      </c>
      <c r="D82" s="239" t="s">
        <v>148</v>
      </c>
      <c r="E82" s="240"/>
      <c r="F82" s="240"/>
      <c r="G82" s="240"/>
    </row>
    <row r="83" spans="1:8" customFormat="1" ht="13.5" customHeight="1" x14ac:dyDescent="0.25">
      <c r="A83" s="241" t="s">
        <v>152</v>
      </c>
      <c r="B83" s="242">
        <v>1</v>
      </c>
      <c r="C83" s="243" t="s">
        <v>83</v>
      </c>
      <c r="D83" s="244">
        <f>700*10</f>
        <v>7000</v>
      </c>
      <c r="E83" s="245"/>
      <c r="F83" s="245"/>
      <c r="G83" s="245"/>
    </row>
    <row r="84" spans="1:8" customFormat="1" ht="12" customHeight="1" x14ac:dyDescent="0.25">
      <c r="A84" s="246" t="s">
        <v>153</v>
      </c>
      <c r="B84" s="247">
        <v>1</v>
      </c>
      <c r="C84" s="248" t="s">
        <v>83</v>
      </c>
      <c r="D84" s="249">
        <f>800*10</f>
        <v>8000</v>
      </c>
      <c r="E84" s="245"/>
      <c r="F84" s="245"/>
      <c r="G84" s="245"/>
    </row>
    <row r="85" spans="1:8" customFormat="1" ht="12.95" customHeight="1" x14ac:dyDescent="0.25">
      <c r="A85" s="246" t="s">
        <v>88</v>
      </c>
      <c r="B85" s="250">
        <v>5</v>
      </c>
      <c r="C85" s="251">
        <v>1850</v>
      </c>
      <c r="D85" s="249">
        <f>B85*C85</f>
        <v>9250</v>
      </c>
      <c r="E85" s="245"/>
      <c r="F85" s="245"/>
      <c r="G85" s="245"/>
    </row>
    <row r="86" spans="1:8" customFormat="1" ht="14.25" customHeight="1" x14ac:dyDescent="0.25">
      <c r="A86" s="252"/>
      <c r="B86" s="327" t="s">
        <v>154</v>
      </c>
      <c r="C86" s="328"/>
      <c r="D86" s="253">
        <f>SUM(D83:D85)</f>
        <v>24250</v>
      </c>
      <c r="E86" s="254"/>
      <c r="F86" s="254"/>
      <c r="G86" s="254"/>
    </row>
    <row r="87" spans="1:8" customFormat="1" ht="6" customHeight="1" x14ac:dyDescent="0.25"/>
    <row r="88" spans="1:8" customFormat="1" ht="20.25" hidden="1" customHeight="1" x14ac:dyDescent="0.25">
      <c r="A88" s="115" t="s">
        <v>155</v>
      </c>
      <c r="B88" s="116"/>
      <c r="C88" s="116"/>
      <c r="D88" s="116"/>
      <c r="E88" s="116"/>
      <c r="F88" s="116"/>
      <c r="G88" s="116"/>
      <c r="H88" s="116"/>
    </row>
    <row r="89" spans="1:8" customFormat="1" ht="24" hidden="1" customHeight="1" x14ac:dyDescent="0.25">
      <c r="A89" s="255" t="s">
        <v>18</v>
      </c>
      <c r="B89" s="256" t="s">
        <v>19</v>
      </c>
      <c r="C89" s="256" t="s">
        <v>20</v>
      </c>
      <c r="D89" s="256" t="s">
        <v>148</v>
      </c>
      <c r="E89" s="240"/>
      <c r="F89" s="240"/>
      <c r="G89" s="240"/>
    </row>
    <row r="90" spans="1:8" customFormat="1" ht="13.5" hidden="1" customHeight="1" x14ac:dyDescent="0.25">
      <c r="A90" s="257" t="s">
        <v>156</v>
      </c>
      <c r="B90" s="258" t="s">
        <v>157</v>
      </c>
      <c r="C90" s="259" t="s">
        <v>157</v>
      </c>
      <c r="D90" s="259">
        <v>75000</v>
      </c>
      <c r="E90" s="245"/>
      <c r="F90" s="245"/>
      <c r="G90" s="245"/>
    </row>
    <row r="91" spans="1:8" customFormat="1" ht="12.95" hidden="1" customHeight="1" x14ac:dyDescent="0.25">
      <c r="A91" s="260"/>
      <c r="B91" s="261"/>
      <c r="C91" s="262"/>
      <c r="D91" s="262"/>
      <c r="E91" s="245"/>
      <c r="F91" s="245"/>
      <c r="G91" s="245"/>
    </row>
    <row r="92" spans="1:8" customFormat="1" ht="14.25" hidden="1" customHeight="1" x14ac:dyDescent="0.25">
      <c r="A92" s="263"/>
      <c r="B92" s="329" t="s">
        <v>158</v>
      </c>
      <c r="C92" s="330"/>
      <c r="D92" s="264"/>
      <c r="E92" s="254"/>
      <c r="F92" s="254"/>
      <c r="G92" s="254"/>
    </row>
    <row r="93" spans="1:8" customFormat="1" ht="15.75" customHeight="1" x14ac:dyDescent="0.25">
      <c r="A93" s="263"/>
      <c r="B93" s="263"/>
      <c r="C93" s="263"/>
      <c r="D93" s="263"/>
      <c r="E93" s="263"/>
    </row>
    <row r="94" spans="1:8" customFormat="1" ht="20.25" customHeight="1" x14ac:dyDescent="0.25">
      <c r="A94" s="115" t="s">
        <v>159</v>
      </c>
      <c r="B94" s="116"/>
      <c r="C94" s="116"/>
      <c r="D94" s="116"/>
      <c r="E94" s="116"/>
      <c r="F94" s="116"/>
      <c r="G94" s="116"/>
      <c r="H94" s="116"/>
    </row>
    <row r="95" spans="1:8" customFormat="1" ht="24" customHeight="1" x14ac:dyDescent="0.25">
      <c r="A95" s="117" t="s">
        <v>18</v>
      </c>
      <c r="B95" s="239" t="s">
        <v>19</v>
      </c>
      <c r="C95" s="239" t="s">
        <v>20</v>
      </c>
      <c r="D95" s="265" t="s">
        <v>148</v>
      </c>
      <c r="E95" s="266"/>
      <c r="F95" s="240"/>
      <c r="G95" s="240"/>
    </row>
    <row r="96" spans="1:8" customFormat="1" ht="12.95" customHeight="1" x14ac:dyDescent="0.25">
      <c r="A96" s="267" t="s">
        <v>160</v>
      </c>
      <c r="B96" s="261" t="s">
        <v>157</v>
      </c>
      <c r="C96" s="261" t="s">
        <v>157</v>
      </c>
      <c r="D96" s="268">
        <v>12000</v>
      </c>
      <c r="E96" s="269"/>
      <c r="F96" s="270"/>
      <c r="G96" s="270"/>
    </row>
    <row r="97" spans="1:12" customFormat="1" ht="14.25" customHeight="1" x14ac:dyDescent="0.25">
      <c r="B97" s="320" t="s">
        <v>161</v>
      </c>
      <c r="C97" s="321"/>
      <c r="D97" s="271">
        <f>D96</f>
        <v>12000</v>
      </c>
      <c r="E97" s="272"/>
      <c r="F97" s="273"/>
      <c r="G97" s="273"/>
    </row>
    <row r="98" spans="1:12" customFormat="1" ht="13.5" customHeight="1" x14ac:dyDescent="0.25">
      <c r="A98" s="331" t="s">
        <v>162</v>
      </c>
      <c r="B98" s="332"/>
      <c r="C98" s="332"/>
      <c r="D98" s="333"/>
      <c r="E98" s="274">
        <f>I27+C48+D61+D77+D86+D97</f>
        <v>565332.64973183419</v>
      </c>
      <c r="F98" s="273"/>
      <c r="G98" s="273"/>
      <c r="H98" s="273"/>
      <c r="I98" s="273"/>
    </row>
    <row r="99" spans="1:12" customFormat="1" ht="17.25" customHeight="1" x14ac:dyDescent="0.25"/>
    <row r="100" spans="1:12" s="114" customFormat="1" ht="21.75" customHeight="1" x14ac:dyDescent="0.2">
      <c r="A100" s="111" t="s">
        <v>163</v>
      </c>
      <c r="B100" s="113"/>
      <c r="C100" s="113"/>
      <c r="D100" s="113"/>
      <c r="E100" s="113"/>
      <c r="F100" s="113"/>
      <c r="G100" s="113"/>
      <c r="H100" s="113"/>
      <c r="I100" s="113"/>
    </row>
    <row r="101" spans="1:12" customFormat="1" ht="16.5" customHeight="1" x14ac:dyDescent="0.25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</row>
    <row r="102" spans="1:12" customFormat="1" ht="9" customHeight="1" x14ac:dyDescent="0.25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</row>
    <row r="103" spans="1:12" customFormat="1" ht="21" customHeight="1" x14ac:dyDescent="0.25">
      <c r="A103" s="117" t="s">
        <v>18</v>
      </c>
      <c r="B103" s="117" t="s">
        <v>38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1:12" customFormat="1" x14ac:dyDescent="0.25">
      <c r="A104" s="275" t="s">
        <v>98</v>
      </c>
      <c r="B104" s="276">
        <v>0.08</v>
      </c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</row>
    <row r="105" spans="1:12" customFormat="1" x14ac:dyDescent="0.25">
      <c r="A105" s="156" t="s">
        <v>99</v>
      </c>
      <c r="B105" s="167">
        <v>0.01</v>
      </c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</row>
    <row r="106" spans="1:12" customFormat="1" x14ac:dyDescent="0.25">
      <c r="A106" s="156" t="s">
        <v>100</v>
      </c>
      <c r="B106" s="167">
        <v>0.08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</row>
    <row r="107" spans="1:12" customFormat="1" x14ac:dyDescent="0.25">
      <c r="A107" s="156" t="s">
        <v>101</v>
      </c>
      <c r="B107" s="167">
        <v>7.6799999999999993E-2</v>
      </c>
      <c r="C107" s="116"/>
      <c r="D107" s="116"/>
      <c r="E107" s="277"/>
      <c r="F107" s="277"/>
      <c r="G107" s="277"/>
      <c r="H107" s="116"/>
      <c r="I107" s="116"/>
      <c r="J107" s="116"/>
      <c r="K107" s="116"/>
      <c r="L107" s="116"/>
    </row>
    <row r="108" spans="1:12" customFormat="1" x14ac:dyDescent="0.25">
      <c r="A108" s="156" t="s">
        <v>164</v>
      </c>
      <c r="B108" s="167">
        <v>0.03</v>
      </c>
      <c r="C108" s="116"/>
      <c r="D108" s="116"/>
      <c r="E108" s="278"/>
      <c r="F108" s="278"/>
      <c r="G108" s="278"/>
      <c r="H108" s="116"/>
      <c r="I108" s="116"/>
      <c r="J108" s="116"/>
      <c r="K108" s="116"/>
      <c r="L108" s="116"/>
    </row>
    <row r="109" spans="1:12" customFormat="1" x14ac:dyDescent="0.25">
      <c r="A109" s="156" t="s">
        <v>44</v>
      </c>
      <c r="B109" s="167">
        <v>6.4999999999999997E-3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</row>
    <row r="110" spans="1:12" customFormat="1" x14ac:dyDescent="0.25">
      <c r="A110" s="168" t="s">
        <v>43</v>
      </c>
      <c r="B110" s="169">
        <v>0.05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</row>
    <row r="111" spans="1:12" customFormat="1" ht="9" customHeight="1" x14ac:dyDescent="0.25">
      <c r="A111" s="116"/>
      <c r="B111" s="279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1:12" customFormat="1" ht="17.25" customHeight="1" x14ac:dyDescent="0.25">
      <c r="A112" s="280" t="s">
        <v>165</v>
      </c>
      <c r="B112" s="281">
        <f>SUM(B104:B110)</f>
        <v>0.33329999999999993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1:12" customFormat="1" ht="9" customHeight="1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1:12" customFormat="1" ht="9" customHeight="1" x14ac:dyDescent="0.25">
      <c r="A114" s="282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1:12" customFormat="1" ht="15" customHeight="1" x14ac:dyDescent="0.25">
      <c r="A115" s="283" t="s">
        <v>166</v>
      </c>
      <c r="B115" s="284"/>
      <c r="C115" s="284"/>
      <c r="D115" s="315">
        <f>E98/(100%-B112)</f>
        <v>847956.57676891272</v>
      </c>
      <c r="E115" s="315"/>
      <c r="F115" s="285"/>
      <c r="G115" s="285"/>
      <c r="H115" s="114"/>
      <c r="I115" s="110"/>
      <c r="J115" s="116"/>
      <c r="K115" s="116"/>
      <c r="L115" s="116"/>
    </row>
    <row r="116" spans="1:12" s="116" customFormat="1" ht="15.75" customHeight="1" x14ac:dyDescent="0.2"/>
    <row r="117" spans="1:12" s="116" customFormat="1" ht="12.75" x14ac:dyDescent="0.2"/>
    <row r="118" spans="1:12" s="116" customFormat="1" x14ac:dyDescent="0.2">
      <c r="A118" s="293"/>
      <c r="B118" s="294" t="s">
        <v>177</v>
      </c>
      <c r="C118" s="294" t="s">
        <v>178</v>
      </c>
      <c r="D118" s="288" t="s">
        <v>179</v>
      </c>
      <c r="E118" s="288" t="s">
        <v>180</v>
      </c>
      <c r="F118" s="288" t="s">
        <v>181</v>
      </c>
      <c r="G118" s="288" t="s">
        <v>173</v>
      </c>
    </row>
    <row r="119" spans="1:12" s="116" customFormat="1" ht="12.75" x14ac:dyDescent="0.2">
      <c r="A119" s="125" t="s">
        <v>66</v>
      </c>
      <c r="B119" s="126">
        <v>1</v>
      </c>
      <c r="C119" s="295">
        <v>13</v>
      </c>
      <c r="D119" s="288">
        <v>5.4</v>
      </c>
      <c r="E119" s="288">
        <v>12.96</v>
      </c>
      <c r="F119" s="296">
        <v>10</v>
      </c>
      <c r="G119" s="297">
        <f>(B119*C119*(D119+E119+F119))+(33*(D119+E119))</f>
        <v>974.56</v>
      </c>
      <c r="H119" s="334" t="s">
        <v>183</v>
      </c>
    </row>
    <row r="120" spans="1:12" s="116" customFormat="1" ht="12.75" x14ac:dyDescent="0.2">
      <c r="A120" s="125" t="s">
        <v>104</v>
      </c>
      <c r="B120" s="126">
        <v>1</v>
      </c>
      <c r="C120" s="295">
        <v>13</v>
      </c>
      <c r="D120" s="288">
        <v>5.4</v>
      </c>
      <c r="E120" s="288">
        <v>12.96</v>
      </c>
      <c r="F120" s="296">
        <v>10</v>
      </c>
      <c r="G120" s="297">
        <f>(B120*C120*(D120+E120+F120))+(33*(D120+E120))</f>
        <v>974.56</v>
      </c>
      <c r="H120" s="334"/>
    </row>
    <row r="121" spans="1:12" s="116" customFormat="1" ht="12.75" x14ac:dyDescent="0.2">
      <c r="A121" s="125" t="s">
        <v>67</v>
      </c>
      <c r="B121" s="126">
        <v>1</v>
      </c>
      <c r="C121" s="295">
        <v>15</v>
      </c>
      <c r="D121" s="288">
        <v>5.4</v>
      </c>
      <c r="E121" s="288">
        <v>12.96</v>
      </c>
      <c r="F121" s="296">
        <v>10</v>
      </c>
      <c r="G121" s="297">
        <f>(B121*C121*(D121+E121+F121))</f>
        <v>425.4</v>
      </c>
      <c r="H121" s="334"/>
    </row>
    <row r="122" spans="1:12" s="116" customFormat="1" ht="12.75" x14ac:dyDescent="0.2">
      <c r="A122" s="125" t="s">
        <v>68</v>
      </c>
      <c r="B122" s="126">
        <v>1</v>
      </c>
      <c r="C122" s="295">
        <v>15</v>
      </c>
      <c r="D122" s="288">
        <v>5.4</v>
      </c>
      <c r="E122" s="288">
        <v>12.96</v>
      </c>
      <c r="F122" s="296">
        <v>10</v>
      </c>
      <c r="G122" s="297">
        <f>(B122*C122*(D122+E122+F122))</f>
        <v>425.4</v>
      </c>
      <c r="H122" s="334"/>
    </row>
    <row r="123" spans="1:12" s="116" customFormat="1" ht="12.75" x14ac:dyDescent="0.2">
      <c r="A123" s="125" t="s">
        <v>76</v>
      </c>
      <c r="B123" s="126">
        <v>1</v>
      </c>
      <c r="C123" s="295">
        <v>15</v>
      </c>
      <c r="D123" s="288">
        <v>5.4</v>
      </c>
      <c r="E123" s="288">
        <v>12.96</v>
      </c>
      <c r="F123" s="296">
        <v>10</v>
      </c>
      <c r="G123" s="297">
        <f>(B123*C123*(D123+E123+F123))</f>
        <v>425.4</v>
      </c>
      <c r="H123" s="334"/>
    </row>
    <row r="124" spans="1:12" s="116" customFormat="1" ht="12.75" x14ac:dyDescent="0.2">
      <c r="A124" s="125" t="s">
        <v>69</v>
      </c>
      <c r="B124" s="126">
        <v>1</v>
      </c>
      <c r="C124" s="295">
        <v>15</v>
      </c>
      <c r="D124" s="288">
        <v>5.4</v>
      </c>
      <c r="E124" s="288">
        <v>12.96</v>
      </c>
      <c r="F124" s="296">
        <v>10</v>
      </c>
      <c r="G124" s="297">
        <f>(B124*C124*(D124+E124+F124))</f>
        <v>425.4</v>
      </c>
      <c r="H124" s="334"/>
    </row>
    <row r="125" spans="1:12" s="116" customFormat="1" ht="12.75" x14ac:dyDescent="0.2">
      <c r="A125" s="125" t="s">
        <v>117</v>
      </c>
      <c r="B125" s="126">
        <v>1</v>
      </c>
      <c r="C125" s="295">
        <v>15</v>
      </c>
      <c r="D125" s="288">
        <v>5.4</v>
      </c>
      <c r="E125" s="288">
        <v>12.96</v>
      </c>
      <c r="F125" s="296">
        <v>10</v>
      </c>
      <c r="G125" s="297">
        <f>(B125*C125*(D125+E125+F125))</f>
        <v>425.4</v>
      </c>
      <c r="H125" s="334"/>
    </row>
    <row r="126" spans="1:12" s="116" customFormat="1" ht="12.75" x14ac:dyDescent="0.2">
      <c r="A126" s="125" t="s">
        <v>70</v>
      </c>
      <c r="B126" s="126">
        <v>6</v>
      </c>
      <c r="C126" s="295">
        <v>15</v>
      </c>
      <c r="D126" s="288">
        <v>5.4</v>
      </c>
      <c r="E126" s="288">
        <v>12.96</v>
      </c>
      <c r="F126" s="296">
        <v>10</v>
      </c>
      <c r="G126" s="297">
        <f t="shared" ref="G126:G130" si="6">(B126*C126*(D126+E126+F126))</f>
        <v>2552.4</v>
      </c>
      <c r="H126" s="334"/>
    </row>
    <row r="127" spans="1:12" s="116" customFormat="1" ht="12.75" x14ac:dyDescent="0.2">
      <c r="A127" s="125" t="s">
        <v>71</v>
      </c>
      <c r="B127" s="126">
        <v>7</v>
      </c>
      <c r="C127" s="295">
        <v>15</v>
      </c>
      <c r="D127" s="288">
        <v>5.4</v>
      </c>
      <c r="E127" s="288">
        <v>12.96</v>
      </c>
      <c r="F127" s="296">
        <v>10</v>
      </c>
      <c r="G127" s="297">
        <f t="shared" si="6"/>
        <v>2977.7999999999997</v>
      </c>
      <c r="H127" s="334"/>
    </row>
    <row r="128" spans="1:12" s="116" customFormat="1" ht="12.75" x14ac:dyDescent="0.2">
      <c r="A128" s="125" t="s">
        <v>72</v>
      </c>
      <c r="B128" s="126">
        <v>3</v>
      </c>
      <c r="C128" s="295">
        <v>15</v>
      </c>
      <c r="D128" s="288">
        <v>5.4</v>
      </c>
      <c r="E128" s="288">
        <v>12.96</v>
      </c>
      <c r="F128" s="296">
        <v>10</v>
      </c>
      <c r="G128" s="297">
        <f t="shared" si="6"/>
        <v>1276.2</v>
      </c>
      <c r="H128" s="334"/>
    </row>
    <row r="129" spans="1:8" s="116" customFormat="1" ht="12.75" x14ac:dyDescent="0.2">
      <c r="A129" s="125" t="s">
        <v>73</v>
      </c>
      <c r="B129" s="126">
        <v>1</v>
      </c>
      <c r="C129" s="295">
        <v>15</v>
      </c>
      <c r="D129" s="288">
        <v>5.4</v>
      </c>
      <c r="E129" s="288">
        <v>12.96</v>
      </c>
      <c r="F129" s="296">
        <v>10</v>
      </c>
      <c r="G129" s="297">
        <f t="shared" si="6"/>
        <v>425.4</v>
      </c>
      <c r="H129" s="334"/>
    </row>
    <row r="130" spans="1:8" s="116" customFormat="1" ht="12.75" x14ac:dyDescent="0.2">
      <c r="A130" s="125" t="s">
        <v>74</v>
      </c>
      <c r="B130" s="126">
        <v>1</v>
      </c>
      <c r="C130" s="295">
        <v>15</v>
      </c>
      <c r="D130" s="288">
        <v>5.4</v>
      </c>
      <c r="E130" s="288">
        <v>12.96</v>
      </c>
      <c r="F130" s="296">
        <v>10</v>
      </c>
      <c r="G130" s="297">
        <f t="shared" si="6"/>
        <v>425.4</v>
      </c>
      <c r="H130" s="334"/>
    </row>
    <row r="131" spans="1:8" s="116" customFormat="1" ht="12.75" x14ac:dyDescent="0.2">
      <c r="G131" s="298">
        <f>SUM(G119:G130)</f>
        <v>11733.32</v>
      </c>
    </row>
    <row r="132" spans="1:8" x14ac:dyDescent="0.2">
      <c r="A132" s="293"/>
      <c r="B132" s="294" t="s">
        <v>177</v>
      </c>
      <c r="C132" s="294" t="s">
        <v>178</v>
      </c>
      <c r="D132" s="288" t="s">
        <v>181</v>
      </c>
      <c r="E132" s="288" t="s">
        <v>182</v>
      </c>
      <c r="F132" s="288" t="s">
        <v>181</v>
      </c>
      <c r="G132" s="288" t="s">
        <v>173</v>
      </c>
    </row>
    <row r="133" spans="1:8" x14ac:dyDescent="0.2">
      <c r="A133" s="125" t="s">
        <v>67</v>
      </c>
      <c r="B133" s="126">
        <v>1</v>
      </c>
      <c r="C133" s="295">
        <v>15</v>
      </c>
      <c r="D133" s="296">
        <v>10</v>
      </c>
      <c r="E133" s="288">
        <v>12.96</v>
      </c>
      <c r="F133" s="296">
        <v>10</v>
      </c>
      <c r="G133" s="297">
        <f>(B133*C133*(D133+E133+F133))</f>
        <v>494.40000000000003</v>
      </c>
      <c r="H133" s="314" t="s">
        <v>184</v>
      </c>
    </row>
    <row r="134" spans="1:8" x14ac:dyDescent="0.2">
      <c r="A134" s="125" t="s">
        <v>117</v>
      </c>
      <c r="B134" s="126">
        <v>1</v>
      </c>
      <c r="C134" s="295">
        <v>15</v>
      </c>
      <c r="D134" s="296">
        <v>10</v>
      </c>
      <c r="E134" s="288">
        <v>12.96</v>
      </c>
      <c r="F134" s="296">
        <v>10</v>
      </c>
      <c r="G134" s="297">
        <f t="shared" ref="G134:G139" si="7">(B134*C134*(D134+E134+F134))</f>
        <v>494.40000000000003</v>
      </c>
      <c r="H134" s="314"/>
    </row>
    <row r="135" spans="1:8" x14ac:dyDescent="0.2">
      <c r="A135" s="125" t="s">
        <v>70</v>
      </c>
      <c r="B135" s="126">
        <v>6</v>
      </c>
      <c r="C135" s="295">
        <v>15</v>
      </c>
      <c r="D135" s="296">
        <v>10</v>
      </c>
      <c r="E135" s="288">
        <v>12.96</v>
      </c>
      <c r="F135" s="296">
        <v>10</v>
      </c>
      <c r="G135" s="297">
        <f t="shared" si="7"/>
        <v>2966.4</v>
      </c>
      <c r="H135" s="314"/>
    </row>
    <row r="136" spans="1:8" x14ac:dyDescent="0.2">
      <c r="A136" s="125" t="s">
        <v>71</v>
      </c>
      <c r="B136" s="126">
        <v>7</v>
      </c>
      <c r="C136" s="295">
        <v>15</v>
      </c>
      <c r="D136" s="296">
        <v>10</v>
      </c>
      <c r="E136" s="288">
        <v>12.96</v>
      </c>
      <c r="F136" s="296">
        <v>10</v>
      </c>
      <c r="G136" s="297">
        <f t="shared" si="7"/>
        <v>3460.8</v>
      </c>
      <c r="H136" s="314"/>
    </row>
    <row r="137" spans="1:8" x14ac:dyDescent="0.2">
      <c r="A137" s="125" t="s">
        <v>72</v>
      </c>
      <c r="B137" s="126">
        <v>3</v>
      </c>
      <c r="C137" s="295">
        <v>15</v>
      </c>
      <c r="D137" s="296">
        <v>10</v>
      </c>
      <c r="E137" s="288">
        <v>12.96</v>
      </c>
      <c r="F137" s="296">
        <v>10</v>
      </c>
      <c r="G137" s="297">
        <f t="shared" si="7"/>
        <v>1483.2</v>
      </c>
      <c r="H137" s="314"/>
    </row>
    <row r="138" spans="1:8" x14ac:dyDescent="0.2">
      <c r="A138" s="125" t="s">
        <v>73</v>
      </c>
      <c r="B138" s="126">
        <v>1</v>
      </c>
      <c r="C138" s="295">
        <v>15</v>
      </c>
      <c r="D138" s="296">
        <v>10</v>
      </c>
      <c r="E138" s="288">
        <v>12.96</v>
      </c>
      <c r="F138" s="296">
        <v>10</v>
      </c>
      <c r="G138" s="297">
        <f t="shared" si="7"/>
        <v>494.40000000000003</v>
      </c>
      <c r="H138" s="314"/>
    </row>
    <row r="139" spans="1:8" x14ac:dyDescent="0.2">
      <c r="A139" s="125" t="s">
        <v>74</v>
      </c>
      <c r="B139" s="126">
        <v>1</v>
      </c>
      <c r="C139" s="295">
        <v>15</v>
      </c>
      <c r="D139" s="296">
        <v>10</v>
      </c>
      <c r="E139" s="288">
        <v>12.96</v>
      </c>
      <c r="F139" s="296">
        <v>10</v>
      </c>
      <c r="G139" s="297">
        <f t="shared" si="7"/>
        <v>494.40000000000003</v>
      </c>
      <c r="H139" s="314"/>
    </row>
    <row r="140" spans="1:8" x14ac:dyDescent="0.2">
      <c r="G140" s="298">
        <f>SUM(G133:G139)</f>
        <v>9888</v>
      </c>
    </row>
    <row r="142" spans="1:8" x14ac:dyDescent="0.2">
      <c r="G142" s="299">
        <f>G131+G140</f>
        <v>21621.32</v>
      </c>
    </row>
  </sheetData>
  <mergeCells count="14">
    <mergeCell ref="H133:H139"/>
    <mergeCell ref="D115:E115"/>
    <mergeCell ref="A5:I5"/>
    <mergeCell ref="D27:H27"/>
    <mergeCell ref="D50:E50"/>
    <mergeCell ref="H50:I50"/>
    <mergeCell ref="E61:H61"/>
    <mergeCell ref="H63:I63"/>
    <mergeCell ref="B77:C77"/>
    <mergeCell ref="B86:C86"/>
    <mergeCell ref="B92:C92"/>
    <mergeCell ref="B97:C97"/>
    <mergeCell ref="A98:D98"/>
    <mergeCell ref="H119:H13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DFP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dcterms:created xsi:type="dcterms:W3CDTF">2015-06-16T16:59:49Z</dcterms:created>
  <dcterms:modified xsi:type="dcterms:W3CDTF">2018-01-19T18:47:10Z</dcterms:modified>
</cp:coreProperties>
</file>