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issa Mesquita\Desktop\PARANAPANEMA REFRATARIO\PC 859-L-18 CAMARA DE COMBUSTÃO DO SECADOR ROTATIVO\"/>
    </mc:Choice>
  </mc:AlternateContent>
  <bookViews>
    <workbookView xWindow="0" yWindow="0" windowWidth="20490" windowHeight="9045"/>
  </bookViews>
  <sheets>
    <sheet name="DFP" sheetId="1" r:id="rId1"/>
    <sheet name="Plan1" sheetId="2" r:id="rId2"/>
  </sheets>
  <calcPr calcId="152511"/>
</workbook>
</file>

<file path=xl/calcChain.xml><?xml version="1.0" encoding="utf-8"?>
<calcChain xmlns="http://schemas.openxmlformats.org/spreadsheetml/2006/main">
  <c r="C60" i="1" l="1"/>
  <c r="C41" i="1"/>
  <c r="B9" i="1"/>
  <c r="B8" i="1"/>
  <c r="H10" i="2"/>
  <c r="H11" i="2" l="1"/>
  <c r="B99" i="1"/>
  <c r="C62" i="1"/>
  <c r="C36" i="1"/>
  <c r="D36" i="1" s="1"/>
  <c r="D66" i="1"/>
  <c r="D65" i="1"/>
  <c r="G32" i="2"/>
  <c r="G31" i="2"/>
  <c r="G30" i="2"/>
  <c r="G29" i="2"/>
  <c r="G28" i="2"/>
  <c r="G27" i="2"/>
  <c r="G26" i="2"/>
  <c r="G33" i="2" l="1"/>
  <c r="N13" i="2" l="1"/>
  <c r="N12" i="2"/>
  <c r="N10" i="2"/>
  <c r="D44" i="1"/>
  <c r="D43" i="1"/>
  <c r="D42" i="1"/>
  <c r="D41" i="1"/>
  <c r="D56" i="1"/>
  <c r="C59" i="1"/>
  <c r="D59" i="1" s="1"/>
  <c r="F12" i="2"/>
  <c r="F10" i="2"/>
  <c r="C17" i="2"/>
  <c r="F17" i="2" s="1"/>
  <c r="C16" i="2"/>
  <c r="F16" i="2" s="1"/>
  <c r="C15" i="2"/>
  <c r="F15" i="2" s="1"/>
  <c r="C14" i="2"/>
  <c r="F14" i="2" s="1"/>
  <c r="H12" i="2"/>
  <c r="C11" i="2"/>
  <c r="N15" i="2" l="1"/>
  <c r="N17" i="2"/>
  <c r="N11" i="2"/>
  <c r="N14" i="2"/>
  <c r="N16" i="2"/>
  <c r="F11" i="2"/>
  <c r="I11" i="2" s="1"/>
  <c r="I10" i="2"/>
  <c r="H16" i="2"/>
  <c r="I16" i="2" s="1"/>
  <c r="H15" i="2"/>
  <c r="I12" i="2"/>
  <c r="H14" i="2"/>
  <c r="H17" i="2"/>
  <c r="N19" i="2" l="1"/>
  <c r="I15" i="2"/>
  <c r="I14" i="2"/>
  <c r="I17" i="2"/>
  <c r="I22" i="2" l="1"/>
  <c r="E10" i="1" l="1"/>
  <c r="E11" i="1"/>
  <c r="E12" i="1"/>
  <c r="E13" i="1"/>
  <c r="E14" i="1"/>
  <c r="D64" i="1" l="1"/>
  <c r="D63" i="1"/>
  <c r="D62" i="1"/>
  <c r="C61" i="1"/>
  <c r="D61" i="1" s="1"/>
  <c r="D60" i="1"/>
  <c r="C58" i="1"/>
  <c r="D58" i="1" s="1"/>
  <c r="D57" i="1"/>
  <c r="C51" i="1"/>
  <c r="D51" i="1" s="1"/>
  <c r="C50" i="1"/>
  <c r="D50" i="1" s="1"/>
  <c r="C49" i="1"/>
  <c r="D49" i="1" s="1"/>
  <c r="C40" i="1"/>
  <c r="D40" i="1" s="1"/>
  <c r="C39" i="1"/>
  <c r="D39" i="1" s="1"/>
  <c r="C38" i="1"/>
  <c r="D38" i="1" s="1"/>
  <c r="D37" i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D53" i="1" l="1"/>
  <c r="D67" i="1"/>
  <c r="D45" i="1"/>
  <c r="D46" i="1" s="1"/>
  <c r="E16" i="1"/>
  <c r="E15" i="1"/>
  <c r="E9" i="1"/>
  <c r="E8" i="1"/>
  <c r="E17" i="1" l="1"/>
  <c r="E18" i="1" s="1"/>
  <c r="E20" i="1" l="1"/>
  <c r="C25" i="1" s="1"/>
  <c r="E27" i="1" l="1"/>
  <c r="E69" i="1" s="1"/>
  <c r="C73" i="1" l="1"/>
  <c r="D73" i="1" s="1"/>
  <c r="C75" i="1"/>
  <c r="D75" i="1" s="1"/>
  <c r="C74" i="1"/>
  <c r="D74" i="1" s="1"/>
  <c r="C83" i="1"/>
  <c r="D83" i="1" s="1"/>
  <c r="D86" i="1" s="1"/>
  <c r="D78" i="1" l="1"/>
  <c r="E90" i="1" l="1"/>
  <c r="E101" i="1" s="1"/>
  <c r="E103" i="1" s="1"/>
</calcChain>
</file>

<file path=xl/comments1.xml><?xml version="1.0" encoding="utf-8"?>
<comments xmlns="http://schemas.openxmlformats.org/spreadsheetml/2006/main">
  <authors>
    <author>Risoterm - Obra Dow</author>
  </authors>
  <commentList>
    <comment ref="C26" authorId="0" shapeId="0">
      <text>
        <r>
          <rPr>
            <b/>
            <sz val="9"/>
            <color indexed="81"/>
            <rFont val="Tahoma"/>
            <family val="2"/>
          </rPr>
          <t>Risoterm - Obra Dow:</t>
        </r>
        <r>
          <rPr>
            <sz val="9"/>
            <color indexed="81"/>
            <rFont val="Tahoma"/>
            <family val="2"/>
          </rPr>
          <t xml:space="preserve">
+ 33 dias pré-parada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Risoterm - Obra Dow:</t>
        </r>
        <r>
          <rPr>
            <sz val="9"/>
            <color indexed="81"/>
            <rFont val="Tahoma"/>
            <family val="2"/>
          </rPr>
          <t xml:space="preserve">
+ 33 dias pré-parada</t>
        </r>
      </text>
    </comment>
  </commentList>
</comments>
</file>

<file path=xl/sharedStrings.xml><?xml version="1.0" encoding="utf-8"?>
<sst xmlns="http://schemas.openxmlformats.org/spreadsheetml/2006/main" count="165" uniqueCount="128">
  <si>
    <t>1.Custos Diretos</t>
  </si>
  <si>
    <t xml:space="preserve"> </t>
  </si>
  <si>
    <t>1.1 a) Mão-de-Obra (M.O)</t>
  </si>
  <si>
    <t>Categoria Profissional</t>
  </si>
  <si>
    <t>Horas/Dias/Meses Trabalhados</t>
  </si>
  <si>
    <t>Salário
 Hora/Dia/Mês (R$)</t>
  </si>
  <si>
    <t>Quantidade de pessoal</t>
  </si>
  <si>
    <t>Total (R$)</t>
  </si>
  <si>
    <t>Total Salário Bruto</t>
  </si>
  <si>
    <t>Adicional de Periculosidade - 30%</t>
  </si>
  <si>
    <t>Total de salários</t>
  </si>
  <si>
    <t>1.1 b) Encargos Sociais, Trabalhistas e Previdenciários</t>
  </si>
  <si>
    <t>Descrição</t>
  </si>
  <si>
    <t>%</t>
  </si>
  <si>
    <t>Valores (R$)</t>
  </si>
  <si>
    <t>Total de Encargos</t>
  </si>
  <si>
    <t>Total de M.O (1.1)</t>
  </si>
  <si>
    <t>1.2 - Equipamentos Principais</t>
  </si>
  <si>
    <t>Tipo</t>
  </si>
  <si>
    <t>Quantidade      Prevista</t>
  </si>
  <si>
    <t>Custo Unitário (R$)</t>
  </si>
  <si>
    <t>Valor Total (R$)</t>
  </si>
  <si>
    <t>Total Equipamentos</t>
  </si>
  <si>
    <t>1.3 - Materiais e Ferramentaria</t>
  </si>
  <si>
    <t>Materiais de Consumo</t>
  </si>
  <si>
    <t>Ferramentas</t>
  </si>
  <si>
    <t>Total Materiais</t>
  </si>
  <si>
    <t>1.4 Outros Custos Diretos</t>
  </si>
  <si>
    <t>Quantidade Prevista</t>
  </si>
  <si>
    <t>Custo Unitário R$</t>
  </si>
  <si>
    <t>Transporte</t>
  </si>
  <si>
    <t>Total de Outros Custos Diretos</t>
  </si>
  <si>
    <t>Total Custos Diretos (1.1+1.2+1.3+1.4)</t>
  </si>
  <si>
    <t>2.Custos Indiretos</t>
  </si>
  <si>
    <t>Alíquota (%) em relação ao ítem 1</t>
  </si>
  <si>
    <t>Base de Cálculo (R$)</t>
  </si>
  <si>
    <t>Total Custos Indiretos</t>
  </si>
  <si>
    <t>3.Tributos Incidentes sobre o Lucro</t>
  </si>
  <si>
    <t>Alíquota (%)</t>
  </si>
  <si>
    <t>Total Tributos Incidentes sobre o lucro</t>
  </si>
  <si>
    <t>4.Total dos Custos (R$)</t>
  </si>
  <si>
    <t>Custos Diretos + Custos Indiretos + Tributos Sobre o Lucro</t>
  </si>
  <si>
    <t>5.Tributos Incidentes sobre o Faturamento</t>
  </si>
  <si>
    <t>ISS</t>
  </si>
  <si>
    <t>PIS</t>
  </si>
  <si>
    <t>COFINS</t>
  </si>
  <si>
    <t>Total Tributos sobre o Faturamento</t>
  </si>
  <si>
    <t>6.Preço Total para Faturamento (R$)</t>
  </si>
  <si>
    <t xml:space="preserve">          INSTRUÇÕES PARA PREENCHIMENTO DA PLANILHA</t>
  </si>
  <si>
    <t>1.1</t>
  </si>
  <si>
    <t>Preenche-se a categoria profissional</t>
  </si>
  <si>
    <t>Preenche-se a quantidade de horas, dias ou meses que o profissional trabalhará</t>
  </si>
  <si>
    <t>Preenche-se o valor do salário do profissional por hora, dia ou mês, de acordo com o que foi preenchido no quadro anterior.</t>
  </si>
  <si>
    <t>Preenche-se a quantidade de profissionais daquela categoria que serão necessários para a realização do serviço</t>
  </si>
  <si>
    <t>Preenche-se os percentuais referentes aos encargos sociais. Se necessário, pode-se acrescentar outros encargos sociais que</t>
  </si>
  <si>
    <t>venham a incidir nos custos</t>
  </si>
  <si>
    <t xml:space="preserve">1.2 - 1.3 - 1.4 </t>
  </si>
  <si>
    <t>Preenche-se a quantidade prevista dos itens relacionados. Se necessário, pode-se acrescentar outros itens que sejam relevantes</t>
  </si>
  <si>
    <t>Preenche-se os custos unitários referentes aos itens relacionados</t>
  </si>
  <si>
    <t>Preenche-se os percentuais incidentes sobre os custos diretos, referentes à taxa de administração e à margem de lucro</t>
  </si>
  <si>
    <t>Preenche-se os percentuais referentes aos tributos que incidem sobre o lucro</t>
  </si>
  <si>
    <t>Preenche-se os percentuais referentes aos tributos que incidem sobre o faturamento</t>
  </si>
  <si>
    <t xml:space="preserve">OBS: Os cálculos serão feitos automaticamente pelas fórmulas contidas na planilha </t>
  </si>
  <si>
    <t>ATENÇÃO: PREENCHER SOMENTE OS CAMPOS EM AZUL</t>
  </si>
  <si>
    <t xml:space="preserve">DEMONSTRATIVO DE FORMAÇÃO DE PREÇO DOS SERVIÇOS </t>
  </si>
  <si>
    <t xml:space="preserve">Preço Total para Faturamento </t>
  </si>
  <si>
    <t>Coordenador</t>
  </si>
  <si>
    <t xml:space="preserve">Encarregado </t>
  </si>
  <si>
    <t>Pedreiro Refratarista</t>
  </si>
  <si>
    <t>Ajudante</t>
  </si>
  <si>
    <t>Obs. Segurança</t>
  </si>
  <si>
    <t>Cortador</t>
  </si>
  <si>
    <t>Exames Médicos</t>
  </si>
  <si>
    <t>Seguro de Acidentes Pessoais</t>
  </si>
  <si>
    <t>vb</t>
  </si>
  <si>
    <t>Cesta Básica</t>
  </si>
  <si>
    <t>Higienização de EPI´S</t>
  </si>
  <si>
    <t xml:space="preserve">Misturador de Concreto </t>
  </si>
  <si>
    <t>Máquina Policort</t>
  </si>
  <si>
    <t>Disco Máquina Policorte</t>
  </si>
  <si>
    <t>Serra Tico-tico</t>
  </si>
  <si>
    <t>Serra Circular</t>
  </si>
  <si>
    <t>Rádios</t>
  </si>
  <si>
    <t>Iluminaçao</t>
  </si>
  <si>
    <t>Martelete</t>
  </si>
  <si>
    <t>Ponteira de Martelete</t>
  </si>
  <si>
    <t>Maquina de Carga</t>
  </si>
  <si>
    <t>Adm. Central e Gerenciamento</t>
  </si>
  <si>
    <t>Despesas Financeiras</t>
  </si>
  <si>
    <t>Lucro Operacional</t>
  </si>
  <si>
    <t>Provisão p/ IRPJ e CSLL</t>
  </si>
  <si>
    <t>Caminhão</t>
  </si>
  <si>
    <t>Empilhadeira</t>
  </si>
  <si>
    <t xml:space="preserve">Toldo 6 x 6 </t>
  </si>
  <si>
    <t>Fardamento</t>
  </si>
  <si>
    <t>EPI's</t>
  </si>
  <si>
    <t>Apoio de Andaime</t>
  </si>
  <si>
    <t>Apoio de Caldeiraria</t>
  </si>
  <si>
    <t>Tec. Planejamento</t>
  </si>
  <si>
    <t>COMPOSIÇÃO DE PREÇOS- Forno Eletrico</t>
  </si>
  <si>
    <t xml:space="preserve">1.1 Salários </t>
  </si>
  <si>
    <t>Quantidade</t>
  </si>
  <si>
    <t>Salário
 Básico (R$)</t>
  </si>
  <si>
    <t>Regime de
 Trabalho</t>
  </si>
  <si>
    <t>Adicional Periculosidade</t>
  </si>
  <si>
    <t>Hora Extra</t>
  </si>
  <si>
    <t>Adicional  Noturno</t>
  </si>
  <si>
    <t>Hora Normal
 (R$)</t>
  </si>
  <si>
    <t>Total
 Parcial (R$)</t>
  </si>
  <si>
    <t>Mão-de-Obra Indireta</t>
  </si>
  <si>
    <t>Reajuste 4%</t>
  </si>
  <si>
    <t>Téc. de Planejamento</t>
  </si>
  <si>
    <t>Mão-de-Obra Direta</t>
  </si>
  <si>
    <r>
      <t>BASE: MARCO</t>
    </r>
    <r>
      <rPr>
        <sz val="10"/>
        <rFont val="Arial"/>
        <family val="2"/>
      </rPr>
      <t>/ 2015</t>
    </r>
  </si>
  <si>
    <t>Total Salários</t>
  </si>
  <si>
    <t>vg</t>
  </si>
  <si>
    <t>Container 6m - vest</t>
  </si>
  <si>
    <t>Container 6m - adm</t>
  </si>
  <si>
    <t>Alimentação</t>
  </si>
  <si>
    <t>Prémio parada</t>
  </si>
  <si>
    <t>prêmio parada</t>
  </si>
  <si>
    <t>Qtd</t>
  </si>
  <si>
    <t>Dias</t>
  </si>
  <si>
    <t>desjejum</t>
  </si>
  <si>
    <t>almoço</t>
  </si>
  <si>
    <t>lanche</t>
  </si>
  <si>
    <t>Total</t>
  </si>
  <si>
    <t xml:space="preserve">Compressor de 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</si>
</sst>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&quot;R$&quot;* #,##0.00_);_(&quot;R$&quot;* \(#,##0.00\);_(&quot;R$&quot;* &quot;-&quot;??_);_(@_)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u/>
      <sz val="13"/>
      <color theme="0"/>
      <name val="Calibri"/>
      <family val="2"/>
      <scheme val="minor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7"/>
      </patternFill>
    </fill>
    <fill>
      <patternFill patternType="lightGray">
        <fgColor indexed="22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>
        <fgColor indexed="22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81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/>
    <xf numFmtId="0" fontId="2" fillId="0" borderId="1" xfId="1" applyFont="1" applyBorder="1"/>
    <xf numFmtId="0" fontId="2" fillId="0" borderId="0" xfId="1" applyFont="1" applyAlignment="1">
      <alignment horizontal="right"/>
    </xf>
    <xf numFmtId="0" fontId="4" fillId="0" borderId="0" xfId="1" applyFont="1"/>
    <xf numFmtId="0" fontId="3" fillId="0" borderId="0" xfId="1" applyFont="1" applyFill="1" applyAlignment="1">
      <alignment horizontal="left"/>
    </xf>
    <xf numFmtId="0" fontId="2" fillId="0" borderId="0" xfId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4" fillId="0" borderId="0" xfId="1" applyFont="1" applyAlignment="1">
      <alignment horizontal="right" vertical="center"/>
    </xf>
    <xf numFmtId="0" fontId="3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0" fontId="2" fillId="0" borderId="0" xfId="1" applyNumberFormat="1" applyFont="1" applyAlignment="1">
      <alignment horizontal="center"/>
    </xf>
    <xf numFmtId="0" fontId="3" fillId="2" borderId="4" xfId="1" applyFont="1" applyFill="1" applyBorder="1" applyAlignment="1">
      <alignment horizontal="center" vertical="center" wrapText="1"/>
    </xf>
    <xf numFmtId="0" fontId="2" fillId="0" borderId="8" xfId="1" applyFont="1" applyBorder="1"/>
    <xf numFmtId="0" fontId="2" fillId="0" borderId="9" xfId="1" applyFont="1" applyBorder="1"/>
    <xf numFmtId="0" fontId="4" fillId="0" borderId="0" xfId="1" applyFont="1" applyBorder="1"/>
    <xf numFmtId="164" fontId="3" fillId="0" borderId="0" xfId="1" applyNumberFormat="1" applyFont="1" applyBorder="1"/>
    <xf numFmtId="0" fontId="2" fillId="0" borderId="10" xfId="1" applyFont="1" applyBorder="1"/>
    <xf numFmtId="0" fontId="2" fillId="0" borderId="6" xfId="1" applyFont="1" applyBorder="1" applyAlignment="1">
      <alignment horizontal="center"/>
    </xf>
    <xf numFmtId="164" fontId="2" fillId="0" borderId="6" xfId="3" applyFont="1" applyFill="1" applyBorder="1" applyAlignment="1" applyProtection="1">
      <alignment horizontal="center" wrapText="1"/>
      <protection locked="0"/>
    </xf>
    <xf numFmtId="0" fontId="3" fillId="0" borderId="5" xfId="1" applyFont="1" applyBorder="1" applyAlignment="1">
      <alignment vertical="center"/>
    </xf>
    <xf numFmtId="0" fontId="3" fillId="0" borderId="11" xfId="3" applyNumberFormat="1" applyFont="1" applyBorder="1" applyAlignment="1">
      <alignment horizontal="center" vertical="center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6" fillId="0" borderId="0" xfId="1" applyFont="1" applyAlignment="1">
      <alignment horizontal="left"/>
    </xf>
    <xf numFmtId="0" fontId="3" fillId="0" borderId="0" xfId="1" applyFont="1"/>
    <xf numFmtId="0" fontId="9" fillId="0" borderId="0" xfId="1" applyFont="1"/>
    <xf numFmtId="0" fontId="4" fillId="3" borderId="4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 applyProtection="1">
      <alignment vertical="center"/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164" fontId="2" fillId="4" borderId="13" xfId="3" applyFont="1" applyFill="1" applyBorder="1" applyAlignment="1" applyProtection="1">
      <alignment horizontal="center" wrapText="1"/>
      <protection locked="0"/>
    </xf>
    <xf numFmtId="0" fontId="2" fillId="4" borderId="13" xfId="3" applyNumberFormat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Alignment="1">
      <alignment horizontal="center" vertical="center"/>
    </xf>
    <xf numFmtId="10" fontId="2" fillId="4" borderId="14" xfId="1" applyNumberFormat="1" applyFont="1" applyFill="1" applyBorder="1" applyAlignment="1" applyProtection="1">
      <alignment horizontal="center"/>
      <protection locked="0"/>
    </xf>
    <xf numFmtId="10" fontId="2" fillId="4" borderId="9" xfId="1" applyNumberFormat="1" applyFont="1" applyFill="1" applyBorder="1" applyAlignment="1" applyProtection="1">
      <alignment horizontal="left"/>
      <protection locked="0"/>
    </xf>
    <xf numFmtId="0" fontId="2" fillId="4" borderId="9" xfId="1" applyNumberFormat="1" applyFont="1" applyFill="1" applyBorder="1" applyAlignment="1" applyProtection="1">
      <alignment horizontal="center"/>
      <protection locked="0"/>
    </xf>
    <xf numFmtId="164" fontId="2" fillId="4" borderId="9" xfId="3" applyFont="1" applyFill="1" applyBorder="1" applyAlignment="1" applyProtection="1">
      <alignment horizontal="center"/>
      <protection locked="0"/>
    </xf>
    <xf numFmtId="0" fontId="4" fillId="3" borderId="4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justify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vertical="center"/>
    </xf>
    <xf numFmtId="10" fontId="2" fillId="4" borderId="1" xfId="1" applyNumberFormat="1" applyFont="1" applyFill="1" applyBorder="1" applyAlignment="1" applyProtection="1">
      <alignment horizontal="center"/>
      <protection locked="0"/>
    </xf>
    <xf numFmtId="0" fontId="2" fillId="3" borderId="6" xfId="1" applyFont="1" applyFill="1" applyBorder="1" applyAlignment="1">
      <alignment vertical="center"/>
    </xf>
    <xf numFmtId="0" fontId="2" fillId="3" borderId="7" xfId="1" applyFont="1" applyFill="1" applyBorder="1" applyAlignment="1">
      <alignment vertical="center"/>
    </xf>
    <xf numFmtId="0" fontId="3" fillId="5" borderId="0" xfId="1" applyFont="1" applyFill="1" applyAlignment="1">
      <alignment horizontal="left"/>
    </xf>
    <xf numFmtId="0" fontId="3" fillId="5" borderId="4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/>
    </xf>
    <xf numFmtId="0" fontId="3" fillId="5" borderId="5" xfId="1" applyFont="1" applyFill="1" applyBorder="1" applyAlignment="1">
      <alignment vertical="center"/>
    </xf>
    <xf numFmtId="0" fontId="2" fillId="5" borderId="7" xfId="1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0" fontId="4" fillId="0" borderId="5" xfId="1" applyFont="1" applyBorder="1" applyAlignment="1" applyProtection="1">
      <alignment vertical="center"/>
      <protection locked="0"/>
    </xf>
    <xf numFmtId="0" fontId="2" fillId="0" borderId="6" xfId="1" applyFont="1" applyBorder="1" applyProtection="1">
      <protection locked="0"/>
    </xf>
    <xf numFmtId="164" fontId="3" fillId="0" borderId="7" xfId="1" applyNumberFormat="1" applyFont="1" applyBorder="1" applyAlignment="1" applyProtection="1">
      <alignment vertical="center"/>
      <protection locked="0"/>
    </xf>
    <xf numFmtId="164" fontId="2" fillId="3" borderId="13" xfId="3" applyFont="1" applyFill="1" applyBorder="1" applyAlignment="1" applyProtection="1">
      <alignment horizontal="center" vertical="center"/>
    </xf>
    <xf numFmtId="164" fontId="3" fillId="0" borderId="13" xfId="3" applyFont="1" applyBorder="1" applyAlignment="1" applyProtection="1">
      <alignment horizontal="center" vertical="center"/>
    </xf>
    <xf numFmtId="164" fontId="3" fillId="0" borderId="4" xfId="1" applyNumberFormat="1" applyFont="1" applyBorder="1" applyAlignment="1" applyProtection="1">
      <alignment vertical="center"/>
    </xf>
    <xf numFmtId="164" fontId="3" fillId="5" borderId="7" xfId="1" applyNumberFormat="1" applyFont="1" applyFill="1" applyBorder="1" applyAlignment="1" applyProtection="1">
      <alignment horizontal="right" vertical="center"/>
    </xf>
    <xf numFmtId="164" fontId="2" fillId="3" borderId="9" xfId="1" applyNumberFormat="1" applyFont="1" applyFill="1" applyBorder="1" applyAlignment="1" applyProtection="1">
      <alignment horizontal="center"/>
    </xf>
    <xf numFmtId="164" fontId="2" fillId="3" borderId="17" xfId="1" applyNumberFormat="1" applyFont="1" applyFill="1" applyBorder="1" applyAlignment="1" applyProtection="1">
      <alignment horizontal="center"/>
    </xf>
    <xf numFmtId="164" fontId="2" fillId="3" borderId="9" xfId="3" applyFont="1" applyFill="1" applyBorder="1" applyAlignment="1" applyProtection="1">
      <alignment horizontal="center"/>
    </xf>
    <xf numFmtId="164" fontId="2" fillId="3" borderId="14" xfId="3" applyFont="1" applyFill="1" applyBorder="1" applyAlignment="1" applyProtection="1">
      <alignment horizontal="center"/>
    </xf>
    <xf numFmtId="164" fontId="2" fillId="3" borderId="1" xfId="3" applyFont="1" applyFill="1" applyBorder="1" applyAlignment="1" applyProtection="1">
      <alignment horizontal="center"/>
    </xf>
    <xf numFmtId="164" fontId="3" fillId="2" borderId="4" xfId="1" applyNumberFormat="1" applyFont="1" applyFill="1" applyBorder="1" applyAlignment="1" applyProtection="1">
      <alignment vertical="center"/>
    </xf>
    <xf numFmtId="10" fontId="3" fillId="2" borderId="4" xfId="1" applyNumberFormat="1" applyFont="1" applyFill="1" applyBorder="1" applyAlignment="1" applyProtection="1">
      <alignment horizontal="center" vertical="center"/>
    </xf>
    <xf numFmtId="164" fontId="5" fillId="3" borderId="4" xfId="3" applyFont="1" applyFill="1" applyBorder="1" applyAlignment="1" applyProtection="1">
      <alignment vertical="center"/>
    </xf>
    <xf numFmtId="0" fontId="1" fillId="0" borderId="10" xfId="1" applyBorder="1"/>
    <xf numFmtId="0" fontId="3" fillId="5" borderId="5" xfId="1" applyFont="1" applyFill="1" applyBorder="1" applyAlignment="1">
      <alignment horizontal="right" vertical="center"/>
    </xf>
    <xf numFmtId="10" fontId="3" fillId="5" borderId="4" xfId="2" applyNumberFormat="1" applyFont="1" applyFill="1" applyBorder="1" applyAlignment="1" applyProtection="1">
      <alignment vertical="center"/>
    </xf>
    <xf numFmtId="0" fontId="3" fillId="3" borderId="7" xfId="1" applyFont="1" applyFill="1" applyBorder="1" applyAlignment="1">
      <alignment horizontal="center" vertical="center" wrapText="1"/>
    </xf>
    <xf numFmtId="164" fontId="3" fillId="5" borderId="4" xfId="2" applyNumberFormat="1" applyFont="1" applyFill="1" applyBorder="1" applyAlignment="1" applyProtection="1">
      <alignment vertical="center"/>
    </xf>
    <xf numFmtId="0" fontId="3" fillId="2" borderId="0" xfId="1" applyFont="1" applyFill="1" applyBorder="1" applyAlignment="1">
      <alignment horizontal="left"/>
    </xf>
    <xf numFmtId="0" fontId="2" fillId="0" borderId="16" xfId="1" applyFont="1" applyFill="1" applyBorder="1" applyProtection="1">
      <protection locked="0"/>
    </xf>
    <xf numFmtId="0" fontId="3" fillId="7" borderId="4" xfId="1" applyFont="1" applyFill="1" applyBorder="1" applyAlignment="1">
      <alignment horizontal="right" vertical="center"/>
    </xf>
    <xf numFmtId="164" fontId="3" fillId="7" borderId="4" xfId="1" applyNumberFormat="1" applyFont="1" applyFill="1" applyBorder="1" applyAlignment="1" applyProtection="1">
      <alignment horizontal="right" vertical="center"/>
    </xf>
    <xf numFmtId="0" fontId="2" fillId="7" borderId="4" xfId="1" applyFont="1" applyFill="1" applyBorder="1"/>
    <xf numFmtId="0" fontId="3" fillId="8" borderId="4" xfId="1" applyFont="1" applyFill="1" applyBorder="1" applyAlignment="1">
      <alignment horizontal="right" vertical="center"/>
    </xf>
    <xf numFmtId="164" fontId="3" fillId="8" borderId="7" xfId="1" applyNumberFormat="1" applyFont="1" applyFill="1" applyBorder="1" applyAlignment="1" applyProtection="1">
      <alignment horizontal="right" vertical="center"/>
    </xf>
    <xf numFmtId="0" fontId="11" fillId="0" borderId="0" xfId="1" applyFont="1"/>
    <xf numFmtId="0" fontId="3" fillId="7" borderId="5" xfId="1" applyFont="1" applyFill="1" applyBorder="1" applyAlignment="1">
      <alignment vertical="center"/>
    </xf>
    <xf numFmtId="0" fontId="3" fillId="7" borderId="6" xfId="1" applyFont="1" applyFill="1" applyBorder="1" applyAlignment="1">
      <alignment vertical="center"/>
    </xf>
    <xf numFmtId="0" fontId="3" fillId="7" borderId="7" xfId="1" applyFont="1" applyFill="1" applyBorder="1" applyAlignment="1">
      <alignment vertical="center"/>
    </xf>
    <xf numFmtId="164" fontId="3" fillId="7" borderId="4" xfId="3" applyFont="1" applyFill="1" applyBorder="1" applyAlignment="1" applyProtection="1">
      <alignment vertical="center"/>
    </xf>
    <xf numFmtId="0" fontId="1" fillId="0" borderId="0" xfId="1" applyFont="1"/>
    <xf numFmtId="10" fontId="1" fillId="4" borderId="9" xfId="1" applyNumberFormat="1" applyFont="1" applyFill="1" applyBorder="1" applyAlignment="1" applyProtection="1">
      <alignment horizontal="left"/>
      <protection locked="0"/>
    </xf>
    <xf numFmtId="0" fontId="1" fillId="4" borderId="9" xfId="1" applyNumberFormat="1" applyFont="1" applyFill="1" applyBorder="1" applyAlignment="1" applyProtection="1">
      <alignment horizontal="center"/>
      <protection locked="0"/>
    </xf>
    <xf numFmtId="164" fontId="1" fillId="4" borderId="9" xfId="3" applyFont="1" applyFill="1" applyBorder="1" applyAlignment="1" applyProtection="1">
      <alignment horizontal="center"/>
      <protection locked="0"/>
    </xf>
    <xf numFmtId="164" fontId="1" fillId="3" borderId="9" xfId="1" applyNumberFormat="1" applyFont="1" applyFill="1" applyBorder="1" applyAlignment="1" applyProtection="1">
      <alignment horizontal="center"/>
    </xf>
    <xf numFmtId="0" fontId="1" fillId="0" borderId="12" xfId="1" applyFont="1" applyBorder="1"/>
    <xf numFmtId="0" fontId="1" fillId="4" borderId="15" xfId="1" applyNumberFormat="1" applyFont="1" applyFill="1" applyBorder="1" applyAlignment="1" applyProtection="1">
      <alignment horizontal="center"/>
      <protection locked="0"/>
    </xf>
    <xf numFmtId="164" fontId="1" fillId="3" borderId="18" xfId="1" applyNumberFormat="1" applyFont="1" applyFill="1" applyBorder="1" applyAlignment="1" applyProtection="1">
      <alignment horizontal="center"/>
    </xf>
    <xf numFmtId="0" fontId="1" fillId="0" borderId="17" xfId="1" applyFont="1" applyBorder="1"/>
    <xf numFmtId="164" fontId="1" fillId="3" borderId="17" xfId="1" applyNumberFormat="1" applyFont="1" applyFill="1" applyBorder="1" applyAlignment="1" applyProtection="1">
      <alignment horizontal="center"/>
    </xf>
    <xf numFmtId="0" fontId="1" fillId="0" borderId="9" xfId="1" applyFont="1" applyBorder="1"/>
    <xf numFmtId="0" fontId="1" fillId="4" borderId="17" xfId="1" applyNumberFormat="1" applyFont="1" applyFill="1" applyBorder="1" applyAlignment="1" applyProtection="1">
      <alignment horizontal="center"/>
      <protection locked="0"/>
    </xf>
    <xf numFmtId="0" fontId="1" fillId="0" borderId="3" xfId="1" applyFont="1" applyBorder="1"/>
    <xf numFmtId="0" fontId="1" fillId="4" borderId="9" xfId="1" applyFont="1" applyFill="1" applyBorder="1" applyAlignment="1" applyProtection="1">
      <alignment horizontal="center"/>
      <protection locked="0"/>
    </xf>
    <xf numFmtId="164" fontId="1" fillId="3" borderId="13" xfId="3" applyFont="1" applyFill="1" applyBorder="1" applyAlignment="1" applyProtection="1">
      <alignment horizontal="center"/>
    </xf>
    <xf numFmtId="0" fontId="1" fillId="0" borderId="3" xfId="1" applyFont="1" applyFill="1" applyBorder="1" applyProtection="1">
      <protection locked="0"/>
    </xf>
    <xf numFmtId="10" fontId="1" fillId="4" borderId="8" xfId="1" applyNumberFormat="1" applyFont="1" applyFill="1" applyBorder="1" applyAlignment="1" applyProtection="1">
      <alignment horizontal="center"/>
      <protection locked="0"/>
    </xf>
    <xf numFmtId="164" fontId="1" fillId="3" borderId="8" xfId="3" applyFont="1" applyFill="1" applyBorder="1" applyAlignment="1" applyProtection="1">
      <alignment horizontal="center"/>
    </xf>
    <xf numFmtId="10" fontId="1" fillId="4" borderId="9" xfId="1" applyNumberFormat="1" applyFont="1" applyFill="1" applyBorder="1" applyAlignment="1" applyProtection="1">
      <alignment horizontal="center"/>
      <protection locked="0"/>
    </xf>
    <xf numFmtId="164" fontId="1" fillId="3" borderId="9" xfId="3" applyFont="1" applyFill="1" applyBorder="1" applyAlignment="1" applyProtection="1">
      <alignment horizontal="center"/>
    </xf>
    <xf numFmtId="164" fontId="1" fillId="3" borderId="17" xfId="3" applyFont="1" applyFill="1" applyBorder="1" applyAlignment="1" applyProtection="1">
      <alignment horizontal="center"/>
    </xf>
    <xf numFmtId="10" fontId="1" fillId="4" borderId="1" xfId="1" applyNumberFormat="1" applyFont="1" applyFill="1" applyBorder="1" applyAlignment="1" applyProtection="1">
      <alignment horizontal="center"/>
      <protection locked="0"/>
    </xf>
    <xf numFmtId="0" fontId="2" fillId="0" borderId="24" xfId="1" applyFont="1" applyFill="1" applyBorder="1" applyProtection="1">
      <protection locked="0"/>
    </xf>
    <xf numFmtId="164" fontId="1" fillId="3" borderId="22" xfId="3" applyFont="1" applyFill="1" applyBorder="1" applyAlignment="1" applyProtection="1">
      <alignment horizontal="center"/>
    </xf>
    <xf numFmtId="164" fontId="2" fillId="3" borderId="23" xfId="3" applyFont="1" applyFill="1" applyBorder="1" applyAlignment="1" applyProtection="1">
      <alignment horizontal="center"/>
    </xf>
    <xf numFmtId="0" fontId="1" fillId="4" borderId="13" xfId="1" applyFont="1" applyFill="1" applyBorder="1" applyAlignment="1" applyProtection="1">
      <alignment vertical="center"/>
      <protection locked="0"/>
    </xf>
    <xf numFmtId="0" fontId="14" fillId="0" borderId="0" xfId="0" applyFont="1"/>
    <xf numFmtId="0" fontId="13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1" fillId="0" borderId="0" xfId="0" applyFont="1" applyFill="1"/>
    <xf numFmtId="0" fontId="5" fillId="0" borderId="0" xfId="0" applyFont="1"/>
    <xf numFmtId="0" fontId="1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3" fillId="0" borderId="0" xfId="0" applyFont="1"/>
    <xf numFmtId="11" fontId="16" fillId="0" borderId="8" xfId="0" applyNumberFormat="1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164" fontId="1" fillId="0" borderId="8" xfId="4" applyNumberFormat="1" applyFont="1" applyFill="1" applyBorder="1" applyAlignment="1" applyProtection="1">
      <alignment horizontal="center" wrapText="1"/>
      <protection locked="0"/>
    </xf>
    <xf numFmtId="0" fontId="1" fillId="0" borderId="8" xfId="4" applyNumberFormat="1" applyFont="1" applyFill="1" applyBorder="1" applyAlignment="1" applyProtection="1">
      <alignment horizontal="center" vertical="center"/>
      <protection locked="0"/>
    </xf>
    <xf numFmtId="164" fontId="3" fillId="9" borderId="8" xfId="4" applyNumberFormat="1" applyFont="1" applyFill="1" applyBorder="1" applyAlignment="1">
      <alignment horizontal="center" vertical="center"/>
    </xf>
    <xf numFmtId="165" fontId="0" fillId="0" borderId="0" xfId="2" applyNumberFormat="1" applyFont="1"/>
    <xf numFmtId="11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2" fontId="1" fillId="10" borderId="9" xfId="5" applyNumberFormat="1" applyFont="1" applyFill="1" applyBorder="1" applyAlignment="1" applyProtection="1">
      <alignment horizontal="center" wrapText="1"/>
      <protection locked="0"/>
    </xf>
    <xf numFmtId="0" fontId="1" fillId="0" borderId="9" xfId="4" applyNumberFormat="1" applyFont="1" applyFill="1" applyBorder="1" applyAlignment="1" applyProtection="1">
      <alignment horizontal="center" vertical="center"/>
      <protection locked="0"/>
    </xf>
    <xf numFmtId="166" fontId="1" fillId="0" borderId="9" xfId="5" applyNumberFormat="1" applyFont="1" applyFill="1" applyBorder="1" applyAlignment="1" applyProtection="1">
      <alignment horizontal="center" vertical="center"/>
      <protection locked="0"/>
    </xf>
    <xf numFmtId="166" fontId="1" fillId="11" borderId="9" xfId="5" applyNumberFormat="1" applyFont="1" applyFill="1" applyBorder="1" applyAlignment="1">
      <alignment horizontal="center" vertical="center"/>
    </xf>
    <xf numFmtId="0" fontId="0" fillId="11" borderId="25" xfId="0" applyFill="1" applyBorder="1" applyAlignment="1">
      <alignment horizontal="center"/>
    </xf>
    <xf numFmtId="2" fontId="1" fillId="0" borderId="9" xfId="5" applyNumberFormat="1" applyFont="1" applyFill="1" applyBorder="1" applyAlignment="1" applyProtection="1">
      <alignment horizontal="center" wrapText="1"/>
      <protection locked="0"/>
    </xf>
    <xf numFmtId="11" fontId="16" fillId="0" borderId="9" xfId="0" applyNumberFormat="1" applyFont="1" applyFill="1" applyBorder="1" applyAlignment="1" applyProtection="1">
      <alignment vertical="center"/>
      <protection locked="0"/>
    </xf>
    <xf numFmtId="166" fontId="1" fillId="9" borderId="9" xfId="5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vertical="center"/>
      <protection locked="0"/>
    </xf>
    <xf numFmtId="164" fontId="1" fillId="0" borderId="9" xfId="4" applyNumberFormat="1" applyFont="1" applyFill="1" applyBorder="1" applyAlignment="1" applyProtection="1">
      <alignment horizontal="center" wrapText="1"/>
      <protection locked="0"/>
    </xf>
    <xf numFmtId="164" fontId="1" fillId="0" borderId="9" xfId="4" applyNumberFormat="1" applyFont="1" applyFill="1" applyBorder="1" applyAlignment="1" applyProtection="1">
      <alignment horizontal="center" vertical="center"/>
      <protection locked="0"/>
    </xf>
    <xf numFmtId="164" fontId="1" fillId="9" borderId="9" xfId="4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/>
      <protection locked="0"/>
    </xf>
    <xf numFmtId="164" fontId="3" fillId="9" borderId="9" xfId="4" applyNumberFormat="1" applyFont="1" applyFill="1" applyBorder="1" applyAlignment="1">
      <alignment horizontal="center" vertical="center"/>
    </xf>
    <xf numFmtId="11" fontId="1" fillId="0" borderId="17" xfId="0" applyNumberFormat="1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9" fontId="1" fillId="0" borderId="9" xfId="2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vertical="center"/>
    </xf>
    <xf numFmtId="0" fontId="3" fillId="0" borderId="26" xfId="0" applyFont="1" applyBorder="1" applyAlignment="1">
      <alignment horizontal="center"/>
    </xf>
    <xf numFmtId="164" fontId="1" fillId="0" borderId="0" xfId="4" applyNumberFormat="1" applyFont="1" applyFill="1" applyBorder="1" applyAlignment="1" applyProtection="1">
      <alignment horizontal="center" wrapText="1"/>
      <protection locked="0"/>
    </xf>
    <xf numFmtId="0" fontId="3" fillId="0" borderId="0" xfId="4" applyNumberFormat="1" applyFont="1" applyBorder="1" applyAlignment="1">
      <alignment horizontal="center" vertical="center"/>
    </xf>
    <xf numFmtId="164" fontId="3" fillId="0" borderId="0" xfId="4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166" fontId="3" fillId="2" borderId="4" xfId="5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14" fillId="0" borderId="0" xfId="0" applyFont="1" applyFill="1" applyBorder="1"/>
    <xf numFmtId="166" fontId="14" fillId="0" borderId="0" xfId="5" applyNumberFormat="1" applyFont="1"/>
    <xf numFmtId="44" fontId="18" fillId="10" borderId="0" xfId="5" applyFont="1" applyFill="1"/>
    <xf numFmtId="0" fontId="14" fillId="0" borderId="4" xfId="0" applyFont="1" applyFill="1" applyBorder="1" applyAlignment="1">
      <alignment horizontal="right"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4" xfId="3" applyNumberFormat="1" applyFont="1" applyFill="1" applyBorder="1" applyAlignment="1" applyProtection="1">
      <alignment horizontal="center" vertical="center"/>
      <protection locked="0"/>
    </xf>
    <xf numFmtId="167" fontId="1" fillId="0" borderId="4" xfId="0" applyNumberFormat="1" applyFont="1" applyBorder="1" applyAlignment="1">
      <alignment horizontal="center"/>
    </xf>
    <xf numFmtId="44" fontId="1" fillId="0" borderId="4" xfId="5" applyFont="1" applyBorder="1" applyAlignment="1">
      <alignment horizontal="center" vertical="center"/>
    </xf>
    <xf numFmtId="44" fontId="3" fillId="10" borderId="4" xfId="0" applyNumberFormat="1" applyFont="1" applyFill="1" applyBorder="1"/>
    <xf numFmtId="0" fontId="2" fillId="4" borderId="14" xfId="3" applyNumberFormat="1" applyFont="1" applyFill="1" applyBorder="1" applyAlignment="1" applyProtection="1">
      <alignment horizontal="center" vertical="center"/>
      <protection locked="0"/>
    </xf>
    <xf numFmtId="164" fontId="2" fillId="3" borderId="14" xfId="3" applyFont="1" applyFill="1" applyBorder="1" applyAlignment="1" applyProtection="1">
      <alignment horizontal="center" vertical="center"/>
    </xf>
    <xf numFmtId="0" fontId="1" fillId="0" borderId="27" xfId="1" applyFont="1" applyFill="1" applyBorder="1" applyProtection="1">
      <protection locked="0"/>
    </xf>
    <xf numFmtId="10" fontId="1" fillId="4" borderId="28" xfId="1" applyNumberFormat="1" applyFont="1" applyFill="1" applyBorder="1" applyAlignment="1" applyProtection="1">
      <alignment horizontal="center"/>
      <protection locked="0"/>
    </xf>
    <xf numFmtId="164" fontId="1" fillId="3" borderId="28" xfId="3" applyFont="1" applyFill="1" applyBorder="1" applyAlignment="1" applyProtection="1">
      <alignment horizontal="center"/>
    </xf>
    <xf numFmtId="0" fontId="1" fillId="0" borderId="2" xfId="1" applyFont="1" applyBorder="1"/>
    <xf numFmtId="44" fontId="3" fillId="2" borderId="4" xfId="5" applyFont="1" applyFill="1" applyBorder="1" applyAlignment="1">
      <alignment horizontal="left"/>
    </xf>
    <xf numFmtId="0" fontId="10" fillId="6" borderId="19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2" fontId="0" fillId="0" borderId="0" xfId="0" applyNumberFormat="1"/>
  </cellXfs>
  <cellStyles count="6">
    <cellStyle name="Moeda" xfId="5" builtinId="4"/>
    <cellStyle name="Normal" xfId="0" builtinId="0"/>
    <cellStyle name="Normal 2" xfId="1"/>
    <cellStyle name="Porcentagem 2" xfId="2"/>
    <cellStyle name="Vírgula" xfId="4" builtinId="3"/>
    <cellStyle name="Vírgula 2" xfId="3"/>
  </cellStyles>
  <dxfs count="0"/>
  <tableStyles count="0" defaultTableStyle="TableStyleMedium2" defaultPivotStyle="PivotStyleLight16"/>
  <colors>
    <mruColors>
      <color rgb="FFC0E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390526</xdr:colOff>
      <xdr:row>2</xdr:row>
      <xdr:rowOff>9525</xdr:rowOff>
    </xdr:from>
    <xdr:to>
      <xdr:col>5</xdr:col>
      <xdr:colOff>76201</xdr:colOff>
      <xdr:row>5</xdr:row>
      <xdr:rowOff>89985</xdr:rowOff>
    </xdr:to>
    <xdr:pic>
      <xdr:nvPicPr>
        <xdr:cNvPr id="2" name="Imagem 1" descr="MARCA_corporati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1" y="419100"/>
          <a:ext cx="3076575" cy="65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showGridLines="0" tabSelected="1" topLeftCell="A94" workbookViewId="0">
      <selection activeCell="H103" sqref="H103"/>
    </sheetView>
  </sheetViews>
  <sheetFormatPr defaultRowHeight="15" x14ac:dyDescent="0.25"/>
  <cols>
    <col min="1" max="1" width="50.42578125" customWidth="1"/>
    <col min="2" max="2" width="13.140625" customWidth="1"/>
    <col min="3" max="3" width="24.28515625" customWidth="1"/>
    <col min="4" max="4" width="12" customWidth="1"/>
    <col min="5" max="5" width="14.5703125" customWidth="1"/>
    <col min="8" max="8" width="9.5703125" bestFit="1" customWidth="1"/>
  </cols>
  <sheetData>
    <row r="1" spans="1:5" ht="7.5" customHeight="1" thickBot="1" x14ac:dyDescent="0.3"/>
    <row r="2" spans="1:5" ht="24.75" customHeight="1" thickBot="1" x14ac:dyDescent="0.3">
      <c r="A2" s="173" t="s">
        <v>64</v>
      </c>
      <c r="B2" s="174"/>
      <c r="C2" s="174"/>
      <c r="D2" s="174"/>
      <c r="E2" s="175"/>
    </row>
    <row r="4" spans="1:5" x14ac:dyDescent="0.25">
      <c r="A4" s="51" t="s">
        <v>0</v>
      </c>
      <c r="B4" s="49" t="s">
        <v>1</v>
      </c>
      <c r="C4" s="49"/>
      <c r="D4" s="49"/>
      <c r="E4" s="49"/>
    </row>
    <row r="5" spans="1:5" x14ac:dyDescent="0.25">
      <c r="A5" s="2"/>
      <c r="B5" s="2"/>
      <c r="C5" s="2"/>
      <c r="D5" s="2"/>
      <c r="E5" s="2"/>
    </row>
    <row r="6" spans="1:5" x14ac:dyDescent="0.25">
      <c r="A6" s="6" t="s">
        <v>2</v>
      </c>
      <c r="B6" s="2"/>
      <c r="C6" s="2"/>
      <c r="D6" s="2"/>
      <c r="E6" s="2"/>
    </row>
    <row r="7" spans="1:5" ht="38.25" x14ac:dyDescent="0.25">
      <c r="A7" s="32" t="s">
        <v>3</v>
      </c>
      <c r="B7" s="32" t="s">
        <v>4</v>
      </c>
      <c r="C7" s="32" t="s">
        <v>5</v>
      </c>
      <c r="D7" s="32" t="s">
        <v>6</v>
      </c>
      <c r="E7" s="32" t="s">
        <v>7</v>
      </c>
    </row>
    <row r="8" spans="1:5" x14ac:dyDescent="0.25">
      <c r="A8" s="33" t="s">
        <v>66</v>
      </c>
      <c r="B8" s="34">
        <f>30</f>
        <v>30</v>
      </c>
      <c r="C8" s="35">
        <v>431.54</v>
      </c>
      <c r="D8" s="36">
        <v>1</v>
      </c>
      <c r="E8" s="59">
        <f t="shared" ref="E8:E9" si="0">C8*B8*D8</f>
        <v>12946.2</v>
      </c>
    </row>
    <row r="9" spans="1:5" x14ac:dyDescent="0.25">
      <c r="A9" s="113" t="s">
        <v>98</v>
      </c>
      <c r="B9" s="34">
        <f>30</f>
        <v>30</v>
      </c>
      <c r="C9" s="35">
        <v>266.51</v>
      </c>
      <c r="D9" s="36">
        <v>1</v>
      </c>
      <c r="E9" s="59">
        <f t="shared" si="0"/>
        <v>7995.2999999999993</v>
      </c>
    </row>
    <row r="10" spans="1:5" x14ac:dyDescent="0.25">
      <c r="A10" s="33" t="s">
        <v>67</v>
      </c>
      <c r="B10" s="34">
        <v>14</v>
      </c>
      <c r="C10" s="35">
        <v>459.25062857142854</v>
      </c>
      <c r="D10" s="36">
        <v>1</v>
      </c>
      <c r="E10" s="59">
        <f t="shared" ref="E10" si="1">C10*B10*D10</f>
        <v>6429.5087999999996</v>
      </c>
    </row>
    <row r="11" spans="1:5" x14ac:dyDescent="0.25">
      <c r="A11" s="33" t="s">
        <v>68</v>
      </c>
      <c r="B11" s="34">
        <v>14</v>
      </c>
      <c r="C11" s="35">
        <v>261.98897622857146</v>
      </c>
      <c r="D11" s="36">
        <v>4</v>
      </c>
      <c r="E11" s="59">
        <f>C11*B11*D11</f>
        <v>14671.382668800001</v>
      </c>
    </row>
    <row r="12" spans="1:5" x14ac:dyDescent="0.25">
      <c r="A12" s="33" t="s">
        <v>69</v>
      </c>
      <c r="B12" s="34">
        <v>14</v>
      </c>
      <c r="C12" s="35">
        <v>136.85177554285715</v>
      </c>
      <c r="D12" s="36">
        <v>5</v>
      </c>
      <c r="E12" s="59">
        <f t="shared" ref="E12:E14" si="2">C12*B12*D12</f>
        <v>9579.6242880000009</v>
      </c>
    </row>
    <row r="13" spans="1:5" x14ac:dyDescent="0.25">
      <c r="A13" s="33" t="s">
        <v>70</v>
      </c>
      <c r="B13" s="34">
        <v>14</v>
      </c>
      <c r="C13" s="35">
        <v>245.83416000000003</v>
      </c>
      <c r="D13" s="36">
        <v>1</v>
      </c>
      <c r="E13" s="59">
        <f t="shared" si="2"/>
        <v>3441.6782400000002</v>
      </c>
    </row>
    <row r="14" spans="1:5" x14ac:dyDescent="0.25">
      <c r="A14" s="33" t="s">
        <v>71</v>
      </c>
      <c r="B14" s="34">
        <v>14</v>
      </c>
      <c r="C14" s="35">
        <v>245.83416000000003</v>
      </c>
      <c r="D14" s="36">
        <v>1</v>
      </c>
      <c r="E14" s="59">
        <f t="shared" si="2"/>
        <v>3441.6782400000002</v>
      </c>
    </row>
    <row r="15" spans="1:5" x14ac:dyDescent="0.25">
      <c r="A15" s="33"/>
      <c r="B15" s="34"/>
      <c r="C15" s="35"/>
      <c r="D15" s="36"/>
      <c r="E15" s="59">
        <f t="shared" ref="E15:E16" si="3">C15*B15*D15</f>
        <v>0</v>
      </c>
    </row>
    <row r="16" spans="1:5" x14ac:dyDescent="0.25">
      <c r="A16" s="33"/>
      <c r="B16" s="34"/>
      <c r="C16" s="35"/>
      <c r="D16" s="166"/>
      <c r="E16" s="167">
        <f t="shared" si="3"/>
        <v>0</v>
      </c>
    </row>
    <row r="17" spans="1:5" x14ac:dyDescent="0.25">
      <c r="A17" s="24" t="s">
        <v>8</v>
      </c>
      <c r="B17" s="22"/>
      <c r="C17" s="23"/>
      <c r="D17" s="25"/>
      <c r="E17" s="60">
        <f>SUM(E8:E16)</f>
        <v>58505.372236800002</v>
      </c>
    </row>
    <row r="18" spans="1:5" x14ac:dyDescent="0.25">
      <c r="A18" s="56" t="s">
        <v>9</v>
      </c>
      <c r="B18" s="57"/>
      <c r="C18" s="57"/>
      <c r="D18" s="58"/>
      <c r="E18" s="61">
        <f>E17*30%</f>
        <v>17551.611671039998</v>
      </c>
    </row>
    <row r="19" spans="1:5" x14ac:dyDescent="0.25">
      <c r="A19" s="19"/>
      <c r="B19" s="3"/>
      <c r="C19" s="21"/>
      <c r="D19" s="20"/>
      <c r="E19" s="20"/>
    </row>
    <row r="20" spans="1:5" x14ac:dyDescent="0.25">
      <c r="A20" s="2"/>
      <c r="B20" s="2"/>
      <c r="C20" s="78"/>
      <c r="D20" s="78" t="s">
        <v>10</v>
      </c>
      <c r="E20" s="79">
        <f>E17+E18</f>
        <v>76056.983907839996</v>
      </c>
    </row>
    <row r="21" spans="1:5" x14ac:dyDescent="0.25">
      <c r="A21" s="2"/>
      <c r="B21" s="2"/>
      <c r="C21" s="2"/>
      <c r="D21" s="2"/>
      <c r="E21" s="2"/>
    </row>
    <row r="22" spans="1:5" x14ac:dyDescent="0.25">
      <c r="A22" s="6" t="s">
        <v>11</v>
      </c>
      <c r="B22" s="2"/>
      <c r="C22" s="2"/>
      <c r="D22" s="2"/>
    </row>
    <row r="23" spans="1:5" x14ac:dyDescent="0.25">
      <c r="A23" s="42" t="s">
        <v>12</v>
      </c>
      <c r="B23" s="42" t="s">
        <v>13</v>
      </c>
      <c r="C23" s="42" t="s">
        <v>14</v>
      </c>
      <c r="D23" s="8"/>
    </row>
    <row r="24" spans="1:5" x14ac:dyDescent="0.25">
      <c r="A24" s="71"/>
      <c r="B24" s="71"/>
      <c r="C24" s="71"/>
      <c r="D24" s="1"/>
    </row>
    <row r="25" spans="1:5" x14ac:dyDescent="0.25">
      <c r="A25" s="72" t="s">
        <v>15</v>
      </c>
      <c r="B25" s="73">
        <v>0.85</v>
      </c>
      <c r="C25" s="75">
        <f>E20*B25</f>
        <v>64648.436321663998</v>
      </c>
      <c r="D25" s="9"/>
      <c r="E25" s="2"/>
    </row>
    <row r="26" spans="1:5" x14ac:dyDescent="0.25">
      <c r="A26" s="2"/>
      <c r="B26" s="8"/>
      <c r="C26" s="2"/>
      <c r="D26" s="2"/>
      <c r="E26" s="2"/>
    </row>
    <row r="27" spans="1:5" x14ac:dyDescent="0.25">
      <c r="A27" s="10"/>
      <c r="B27" s="2"/>
      <c r="C27" s="80"/>
      <c r="D27" s="81" t="s">
        <v>16</v>
      </c>
      <c r="E27" s="82">
        <f>E20+C25</f>
        <v>140705.420229504</v>
      </c>
    </row>
    <row r="28" spans="1:5" x14ac:dyDescent="0.25">
      <c r="A28" s="30" t="s">
        <v>17</v>
      </c>
      <c r="B28" s="2"/>
      <c r="C28" s="2"/>
      <c r="D28" s="2"/>
      <c r="E28" s="2"/>
    </row>
    <row r="29" spans="1:5" ht="25.5" x14ac:dyDescent="0.25">
      <c r="A29" s="32" t="s">
        <v>18</v>
      </c>
      <c r="B29" s="44" t="s">
        <v>19</v>
      </c>
      <c r="C29" s="44" t="s">
        <v>20</v>
      </c>
      <c r="D29" s="74" t="s">
        <v>21</v>
      </c>
      <c r="E29" s="2"/>
    </row>
    <row r="30" spans="1:5" x14ac:dyDescent="0.25">
      <c r="A30" s="89" t="s">
        <v>77</v>
      </c>
      <c r="B30" s="90">
        <v>1</v>
      </c>
      <c r="C30" s="91">
        <f>1400*1.2</f>
        <v>1680</v>
      </c>
      <c r="D30" s="92">
        <f>C30*B30</f>
        <v>1680</v>
      </c>
      <c r="E30" s="88"/>
    </row>
    <row r="31" spans="1:5" x14ac:dyDescent="0.25">
      <c r="A31" s="89" t="s">
        <v>78</v>
      </c>
      <c r="B31" s="90">
        <v>1</v>
      </c>
      <c r="C31" s="91">
        <f>1000*1.2</f>
        <v>1200</v>
      </c>
      <c r="D31" s="92">
        <f t="shared" ref="D31:D38" si="4">C31*B31</f>
        <v>1200</v>
      </c>
      <c r="E31" s="88"/>
    </row>
    <row r="32" spans="1:5" x14ac:dyDescent="0.25">
      <c r="A32" s="89" t="s">
        <v>79</v>
      </c>
      <c r="B32" s="90">
        <v>4</v>
      </c>
      <c r="C32" s="91">
        <f>750*1.2</f>
        <v>900</v>
      </c>
      <c r="D32" s="92">
        <f t="shared" si="4"/>
        <v>3600</v>
      </c>
      <c r="E32" s="88"/>
    </row>
    <row r="33" spans="1:5" x14ac:dyDescent="0.25">
      <c r="A33" s="89" t="s">
        <v>80</v>
      </c>
      <c r="B33" s="90">
        <v>1</v>
      </c>
      <c r="C33" s="91">
        <f>110*1.2</f>
        <v>132</v>
      </c>
      <c r="D33" s="92">
        <f t="shared" si="4"/>
        <v>132</v>
      </c>
      <c r="E33" s="88"/>
    </row>
    <row r="34" spans="1:5" x14ac:dyDescent="0.25">
      <c r="A34" s="89" t="s">
        <v>81</v>
      </c>
      <c r="B34" s="90">
        <v>1</v>
      </c>
      <c r="C34" s="91">
        <f>110*1.2</f>
        <v>132</v>
      </c>
      <c r="D34" s="92">
        <f t="shared" si="4"/>
        <v>132</v>
      </c>
      <c r="E34" s="88"/>
    </row>
    <row r="35" spans="1:5" x14ac:dyDescent="0.25">
      <c r="A35" s="89" t="s">
        <v>82</v>
      </c>
      <c r="B35" s="90">
        <v>2</v>
      </c>
      <c r="C35" s="91">
        <f>250*1.2</f>
        <v>300</v>
      </c>
      <c r="D35" s="92">
        <f t="shared" si="4"/>
        <v>600</v>
      </c>
      <c r="E35" s="88"/>
    </row>
    <row r="36" spans="1:5" x14ac:dyDescent="0.25">
      <c r="A36" s="89" t="s">
        <v>127</v>
      </c>
      <c r="B36" s="90">
        <v>1</v>
      </c>
      <c r="C36" s="91">
        <f>2*(500)</f>
        <v>1000</v>
      </c>
      <c r="D36" s="92">
        <f t="shared" si="4"/>
        <v>1000</v>
      </c>
      <c r="E36" s="88"/>
    </row>
    <row r="37" spans="1:5" x14ac:dyDescent="0.25">
      <c r="A37" s="89" t="s">
        <v>84</v>
      </c>
      <c r="B37" s="90">
        <v>2</v>
      </c>
      <c r="C37" s="91">
        <v>900</v>
      </c>
      <c r="D37" s="92">
        <f t="shared" si="4"/>
        <v>1800</v>
      </c>
      <c r="E37" s="88"/>
    </row>
    <row r="38" spans="1:5" x14ac:dyDescent="0.25">
      <c r="A38" s="89" t="s">
        <v>85</v>
      </c>
      <c r="B38" s="90">
        <v>4</v>
      </c>
      <c r="C38" s="91">
        <f>128.4*1.2</f>
        <v>154.08000000000001</v>
      </c>
      <c r="D38" s="92">
        <f t="shared" si="4"/>
        <v>616.32000000000005</v>
      </c>
      <c r="E38" s="88"/>
    </row>
    <row r="39" spans="1:5" x14ac:dyDescent="0.25">
      <c r="A39" s="89" t="s">
        <v>91</v>
      </c>
      <c r="B39" s="90">
        <v>1</v>
      </c>
      <c r="C39" s="91">
        <f>7000*1.2</f>
        <v>8400</v>
      </c>
      <c r="D39" s="92">
        <f t="shared" ref="D39:D45" si="5">C39*B39</f>
        <v>8400</v>
      </c>
      <c r="E39" s="88"/>
    </row>
    <row r="40" spans="1:5" x14ac:dyDescent="0.25">
      <c r="A40" s="89" t="s">
        <v>86</v>
      </c>
      <c r="B40" s="90">
        <v>4</v>
      </c>
      <c r="C40" s="91">
        <f>2290*2</f>
        <v>4580</v>
      </c>
      <c r="D40" s="92">
        <f t="shared" si="5"/>
        <v>18320</v>
      </c>
      <c r="E40" s="88"/>
    </row>
    <row r="41" spans="1:5" x14ac:dyDescent="0.25">
      <c r="A41" s="89" t="s">
        <v>92</v>
      </c>
      <c r="B41" s="90" t="s">
        <v>115</v>
      </c>
      <c r="C41" s="91">
        <f>(3700)+260</f>
        <v>3960</v>
      </c>
      <c r="D41" s="92">
        <f>C41</f>
        <v>3960</v>
      </c>
      <c r="E41" s="88"/>
    </row>
    <row r="42" spans="1:5" x14ac:dyDescent="0.25">
      <c r="A42" s="89" t="s">
        <v>93</v>
      </c>
      <c r="B42" s="90">
        <v>1</v>
      </c>
      <c r="C42" s="91">
        <v>500</v>
      </c>
      <c r="D42" s="92">
        <f t="shared" si="5"/>
        <v>500</v>
      </c>
      <c r="E42" s="88"/>
    </row>
    <row r="43" spans="1:5" x14ac:dyDescent="0.25">
      <c r="A43" s="89" t="s">
        <v>116</v>
      </c>
      <c r="B43" s="90">
        <v>1</v>
      </c>
      <c r="C43" s="91">
        <v>480</v>
      </c>
      <c r="D43" s="92">
        <f t="shared" si="5"/>
        <v>480</v>
      </c>
      <c r="E43" s="88"/>
    </row>
    <row r="44" spans="1:5" x14ac:dyDescent="0.25">
      <c r="A44" s="89" t="s">
        <v>117</v>
      </c>
      <c r="B44" s="90">
        <v>1</v>
      </c>
      <c r="C44" s="91">
        <v>480</v>
      </c>
      <c r="D44" s="92">
        <f t="shared" si="5"/>
        <v>480</v>
      </c>
      <c r="E44" s="88"/>
    </row>
    <row r="45" spans="1:5" x14ac:dyDescent="0.25">
      <c r="A45" s="39"/>
      <c r="B45" s="40"/>
      <c r="C45" s="41"/>
      <c r="D45" s="63">
        <f t="shared" si="5"/>
        <v>0</v>
      </c>
      <c r="E45" s="2"/>
    </row>
    <row r="46" spans="1:5" x14ac:dyDescent="0.25">
      <c r="A46" s="5"/>
      <c r="B46" s="2"/>
      <c r="C46" s="50" t="s">
        <v>22</v>
      </c>
      <c r="D46" s="62">
        <f>SUM(D30:D45)</f>
        <v>42900.32</v>
      </c>
    </row>
    <row r="47" spans="1:5" x14ac:dyDescent="0.25">
      <c r="A47" s="30" t="s">
        <v>23</v>
      </c>
      <c r="B47" s="2"/>
      <c r="C47" s="2"/>
      <c r="D47" s="2"/>
    </row>
    <row r="48" spans="1:5" ht="25.5" x14ac:dyDescent="0.25">
      <c r="A48" s="42" t="s">
        <v>18</v>
      </c>
      <c r="B48" s="43" t="s">
        <v>19</v>
      </c>
      <c r="C48" s="37" t="s">
        <v>20</v>
      </c>
      <c r="D48" s="74" t="s">
        <v>21</v>
      </c>
    </row>
    <row r="49" spans="1:6" x14ac:dyDescent="0.25">
      <c r="A49" s="93" t="s">
        <v>24</v>
      </c>
      <c r="B49" s="94" t="s">
        <v>74</v>
      </c>
      <c r="C49" s="91">
        <f>930*1.2</f>
        <v>1116</v>
      </c>
      <c r="D49" s="95">
        <f>C49</f>
        <v>1116</v>
      </c>
    </row>
    <row r="50" spans="1:6" x14ac:dyDescent="0.25">
      <c r="A50" s="96" t="s">
        <v>25</v>
      </c>
      <c r="B50" s="90" t="s">
        <v>74</v>
      </c>
      <c r="C50" s="91">
        <f>1500*1.2</f>
        <v>1800</v>
      </c>
      <c r="D50" s="97">
        <f>C50</f>
        <v>1800</v>
      </c>
    </row>
    <row r="51" spans="1:6" x14ac:dyDescent="0.25">
      <c r="A51" s="98" t="s">
        <v>83</v>
      </c>
      <c r="B51" s="99" t="s">
        <v>74</v>
      </c>
      <c r="C51" s="91">
        <f>1300*1.2</f>
        <v>1560</v>
      </c>
      <c r="D51" s="92">
        <f>C51</f>
        <v>1560</v>
      </c>
    </row>
    <row r="52" spans="1:6" x14ac:dyDescent="0.25">
      <c r="A52" s="18"/>
      <c r="B52" s="40"/>
      <c r="C52" s="41"/>
      <c r="D52" s="64">
        <v>0</v>
      </c>
    </row>
    <row r="53" spans="1:6" x14ac:dyDescent="0.25">
      <c r="A53" s="5"/>
      <c r="B53" s="2"/>
      <c r="C53" s="50" t="s">
        <v>26</v>
      </c>
      <c r="D53" s="62">
        <f>SUM(D49:D52)</f>
        <v>4476</v>
      </c>
    </row>
    <row r="54" spans="1:6" x14ac:dyDescent="0.25">
      <c r="A54" s="6" t="s">
        <v>27</v>
      </c>
      <c r="B54" s="2"/>
      <c r="C54" s="2"/>
      <c r="D54" s="2"/>
    </row>
    <row r="55" spans="1:6" ht="25.5" x14ac:dyDescent="0.25">
      <c r="A55" s="32" t="s">
        <v>18</v>
      </c>
      <c r="B55" s="32" t="s">
        <v>28</v>
      </c>
      <c r="C55" s="32" t="s">
        <v>29</v>
      </c>
      <c r="D55" s="74" t="s">
        <v>21</v>
      </c>
    </row>
    <row r="56" spans="1:6" x14ac:dyDescent="0.25">
      <c r="A56" s="100" t="s">
        <v>30</v>
      </c>
      <c r="B56" s="101">
        <v>14</v>
      </c>
      <c r="C56" s="91">
        <v>500</v>
      </c>
      <c r="D56" s="102">
        <f>C56*B56+(750*2)</f>
        <v>8500</v>
      </c>
      <c r="E56" s="1"/>
      <c r="F56" s="1"/>
    </row>
    <row r="57" spans="1:6" x14ac:dyDescent="0.25">
      <c r="A57" s="100" t="s">
        <v>72</v>
      </c>
      <c r="B57" s="101">
        <v>14</v>
      </c>
      <c r="C57" s="91">
        <v>500</v>
      </c>
      <c r="D57" s="102">
        <f>C57*B57</f>
        <v>7000</v>
      </c>
      <c r="E57" s="1"/>
      <c r="F57" s="1"/>
    </row>
    <row r="58" spans="1:6" x14ac:dyDescent="0.25">
      <c r="A58" s="100" t="s">
        <v>73</v>
      </c>
      <c r="B58" s="101">
        <v>14</v>
      </c>
      <c r="C58" s="91">
        <f>40.1*1.2</f>
        <v>48.12</v>
      </c>
      <c r="D58" s="102">
        <f>C58*B58</f>
        <v>673.68</v>
      </c>
      <c r="E58" s="1"/>
      <c r="F58" s="1"/>
    </row>
    <row r="59" spans="1:6" x14ac:dyDescent="0.25">
      <c r="A59" s="100" t="s">
        <v>94</v>
      </c>
      <c r="B59" s="101" t="s">
        <v>74</v>
      </c>
      <c r="C59" s="91">
        <f>14*2*100</f>
        <v>2800</v>
      </c>
      <c r="D59" s="102">
        <f>C59</f>
        <v>2800</v>
      </c>
      <c r="E59" s="1"/>
      <c r="F59" s="1"/>
    </row>
    <row r="60" spans="1:6" x14ac:dyDescent="0.25">
      <c r="A60" s="100" t="s">
        <v>95</v>
      </c>
      <c r="B60" s="101" t="s">
        <v>74</v>
      </c>
      <c r="C60" s="91">
        <f>(0.5*14*470)+(0.5*14*235)</f>
        <v>4935</v>
      </c>
      <c r="D60" s="102">
        <f t="shared" ref="D60:D62" si="6">C60</f>
        <v>4935</v>
      </c>
      <c r="E60" s="1"/>
      <c r="F60" s="1"/>
    </row>
    <row r="61" spans="1:6" x14ac:dyDescent="0.25">
      <c r="A61" s="100" t="s">
        <v>75</v>
      </c>
      <c r="B61" s="101">
        <v>14</v>
      </c>
      <c r="C61" s="91">
        <f>452*1.04</f>
        <v>470.08000000000004</v>
      </c>
      <c r="D61" s="102">
        <f>C61*B61</f>
        <v>6581.1200000000008</v>
      </c>
      <c r="E61" s="1"/>
      <c r="F61" s="1"/>
    </row>
    <row r="62" spans="1:6" x14ac:dyDescent="0.25">
      <c r="A62" s="100" t="s">
        <v>76</v>
      </c>
      <c r="B62" s="101" t="s">
        <v>74</v>
      </c>
      <c r="C62" s="91">
        <f>14*2*15*4</f>
        <v>1680</v>
      </c>
      <c r="D62" s="102">
        <f t="shared" si="6"/>
        <v>1680</v>
      </c>
      <c r="E62" s="1"/>
      <c r="F62" s="1"/>
    </row>
    <row r="63" spans="1:6" x14ac:dyDescent="0.25">
      <c r="A63" s="100" t="s">
        <v>96</v>
      </c>
      <c r="B63" s="101" t="s">
        <v>74</v>
      </c>
      <c r="C63" s="91">
        <v>8000</v>
      </c>
      <c r="D63" s="102">
        <f>C63</f>
        <v>8000</v>
      </c>
      <c r="E63" s="1"/>
      <c r="F63" s="1"/>
    </row>
    <row r="64" spans="1:6" x14ac:dyDescent="0.25">
      <c r="A64" s="100" t="s">
        <v>97</v>
      </c>
      <c r="B64" s="101" t="s">
        <v>74</v>
      </c>
      <c r="C64" s="91">
        <v>14000</v>
      </c>
      <c r="D64" s="102">
        <f>C64</f>
        <v>14000</v>
      </c>
      <c r="E64" s="1"/>
      <c r="F64" s="1"/>
    </row>
    <row r="65" spans="1:6" x14ac:dyDescent="0.25">
      <c r="A65" s="103" t="s">
        <v>118</v>
      </c>
      <c r="B65" s="101" t="s">
        <v>74</v>
      </c>
      <c r="C65" s="91">
        <v>6997.1999999999989</v>
      </c>
      <c r="D65" s="102">
        <f>C65</f>
        <v>6997.1999999999989</v>
      </c>
      <c r="E65" s="1"/>
      <c r="F65" s="1"/>
    </row>
    <row r="66" spans="1:6" x14ac:dyDescent="0.25">
      <c r="A66" s="103" t="s">
        <v>119</v>
      </c>
      <c r="B66" s="101" t="s">
        <v>74</v>
      </c>
      <c r="C66" s="91">
        <v>34188.008872727274</v>
      </c>
      <c r="D66" s="102">
        <f>C66</f>
        <v>34188.008872727274</v>
      </c>
      <c r="E66" s="1"/>
      <c r="F66" s="1"/>
    </row>
    <row r="67" spans="1:6" x14ac:dyDescent="0.25">
      <c r="A67" s="1"/>
      <c r="B67" s="53" t="s">
        <v>31</v>
      </c>
      <c r="C67" s="54"/>
      <c r="D67" s="62">
        <f>SUM(D56:D66)</f>
        <v>95355.008872727281</v>
      </c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84" t="s">
        <v>32</v>
      </c>
      <c r="C69" s="85"/>
      <c r="D69" s="86"/>
      <c r="E69" s="87">
        <f>E27+D46+D53+D67</f>
        <v>283436.74910223129</v>
      </c>
      <c r="F69" s="1"/>
    </row>
    <row r="70" spans="1:6" x14ac:dyDescent="0.25">
      <c r="A70" s="51" t="s">
        <v>33</v>
      </c>
      <c r="B70" s="52"/>
      <c r="C70" s="52"/>
      <c r="D70" s="52"/>
      <c r="E70" s="52"/>
      <c r="F70" s="7"/>
    </row>
    <row r="71" spans="1:6" x14ac:dyDescent="0.25">
      <c r="A71" s="2"/>
      <c r="B71" s="2"/>
      <c r="C71" s="2"/>
      <c r="D71" s="2"/>
      <c r="E71" s="2"/>
      <c r="F71" s="2"/>
    </row>
    <row r="72" spans="1:6" ht="38.25" x14ac:dyDescent="0.25">
      <c r="A72" s="44" t="s">
        <v>18</v>
      </c>
      <c r="B72" s="44" t="s">
        <v>34</v>
      </c>
      <c r="C72" s="44" t="s">
        <v>35</v>
      </c>
      <c r="D72" s="74" t="s">
        <v>21</v>
      </c>
      <c r="E72" s="2"/>
      <c r="F72" s="2"/>
    </row>
    <row r="73" spans="1:6" x14ac:dyDescent="0.25">
      <c r="A73" s="100" t="s">
        <v>87</v>
      </c>
      <c r="B73" s="104">
        <v>0.08</v>
      </c>
      <c r="C73" s="105">
        <f>B73*E69</f>
        <v>22674.939928178504</v>
      </c>
      <c r="D73" s="105">
        <f>C73</f>
        <v>22674.939928178504</v>
      </c>
      <c r="E73" s="88"/>
      <c r="F73" s="88"/>
    </row>
    <row r="74" spans="1:6" x14ac:dyDescent="0.25">
      <c r="A74" s="100" t="s">
        <v>88</v>
      </c>
      <c r="B74" s="106">
        <v>0.01</v>
      </c>
      <c r="C74" s="107">
        <f>B74*E69</f>
        <v>2834.3674910223131</v>
      </c>
      <c r="D74" s="107">
        <f>C74</f>
        <v>2834.3674910223131</v>
      </c>
      <c r="E74" s="88"/>
      <c r="F74" s="88"/>
    </row>
    <row r="75" spans="1:6" x14ac:dyDescent="0.25">
      <c r="A75" s="168" t="s">
        <v>89</v>
      </c>
      <c r="B75" s="169">
        <v>0.08</v>
      </c>
      <c r="C75" s="170">
        <f>B75*E69</f>
        <v>22674.939928178504</v>
      </c>
      <c r="D75" s="107">
        <f>C75</f>
        <v>22674.939928178504</v>
      </c>
      <c r="E75" s="88"/>
      <c r="F75" s="88"/>
    </row>
    <row r="76" spans="1:6" x14ac:dyDescent="0.25">
      <c r="A76" s="103"/>
      <c r="B76" s="106">
        <v>7.6799999999999993E-2</v>
      </c>
      <c r="C76" s="111">
        <v>0</v>
      </c>
      <c r="D76" s="108">
        <v>0</v>
      </c>
      <c r="E76" s="88"/>
      <c r="F76" s="88"/>
    </row>
    <row r="77" spans="1:6" x14ac:dyDescent="0.25">
      <c r="A77" s="110"/>
      <c r="B77" s="38"/>
      <c r="C77" s="112">
        <v>0</v>
      </c>
      <c r="D77" s="66">
        <v>0</v>
      </c>
      <c r="E77" s="2"/>
      <c r="F77" s="2"/>
    </row>
    <row r="78" spans="1:6" x14ac:dyDescent="0.25">
      <c r="A78" s="14"/>
      <c r="B78" s="14"/>
      <c r="C78" s="55" t="s">
        <v>36</v>
      </c>
      <c r="D78" s="62">
        <f>SUM(D73:D77)</f>
        <v>48184.247347379322</v>
      </c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x14ac:dyDescent="0.25">
      <c r="A80" s="51" t="s">
        <v>37</v>
      </c>
      <c r="B80" s="52"/>
      <c r="C80" s="52"/>
      <c r="D80" s="52"/>
      <c r="E80" s="52"/>
      <c r="F80" s="7"/>
    </row>
    <row r="81" spans="1:6" x14ac:dyDescent="0.25">
      <c r="A81" s="2"/>
      <c r="B81" s="2"/>
      <c r="C81" s="2"/>
      <c r="D81" s="2"/>
      <c r="E81" s="2"/>
      <c r="F81" s="2"/>
    </row>
    <row r="82" spans="1:6" ht="25.5" x14ac:dyDescent="0.25">
      <c r="A82" s="44" t="s">
        <v>18</v>
      </c>
      <c r="B82" s="44" t="s">
        <v>38</v>
      </c>
      <c r="C82" s="44" t="s">
        <v>35</v>
      </c>
      <c r="D82" s="74" t="s">
        <v>21</v>
      </c>
      <c r="E82" s="2"/>
      <c r="F82" s="2"/>
    </row>
    <row r="83" spans="1:6" x14ac:dyDescent="0.25">
      <c r="A83" s="171" t="s">
        <v>90</v>
      </c>
      <c r="B83" s="104">
        <v>7.6799999999999993E-2</v>
      </c>
      <c r="C83" s="105">
        <f>B83*E69</f>
        <v>21767.942331051359</v>
      </c>
      <c r="D83" s="105">
        <f>C83</f>
        <v>21767.942331051359</v>
      </c>
      <c r="E83" s="2"/>
      <c r="F83" s="2"/>
    </row>
    <row r="84" spans="1:6" x14ac:dyDescent="0.25">
      <c r="A84" s="100"/>
      <c r="B84" s="106"/>
      <c r="C84" s="65">
        <v>0</v>
      </c>
      <c r="D84" s="65">
        <v>0</v>
      </c>
      <c r="E84" s="2"/>
      <c r="F84" s="2"/>
    </row>
    <row r="85" spans="1:6" x14ac:dyDescent="0.25">
      <c r="A85" s="77"/>
      <c r="B85" s="46"/>
      <c r="C85" s="67">
        <v>0</v>
      </c>
      <c r="D85" s="67">
        <v>0</v>
      </c>
      <c r="E85" s="2"/>
      <c r="F85" s="2"/>
    </row>
    <row r="86" spans="1:6" x14ac:dyDescent="0.25">
      <c r="A86" s="14"/>
      <c r="B86" s="53" t="s">
        <v>39</v>
      </c>
      <c r="C86" s="54"/>
      <c r="D86" s="62">
        <f>SUM(D83:D85)</f>
        <v>21767.942331051359</v>
      </c>
      <c r="E86" s="2"/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51" t="s">
        <v>40</v>
      </c>
      <c r="B88" s="52"/>
      <c r="C88" s="52"/>
      <c r="D88" s="52"/>
      <c r="E88" s="52"/>
      <c r="F88" s="7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11" t="s">
        <v>41</v>
      </c>
      <c r="B90" s="12"/>
      <c r="C90" s="12"/>
      <c r="D90" s="13"/>
      <c r="E90" s="68">
        <f>E69+D78+D86</f>
        <v>353388.93878066196</v>
      </c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51" t="s">
        <v>42</v>
      </c>
      <c r="B92" s="52"/>
      <c r="C92" s="52"/>
      <c r="D92" s="52"/>
      <c r="E92" s="76"/>
      <c r="F92" s="7"/>
    </row>
    <row r="93" spans="1:6" x14ac:dyDescent="0.25">
      <c r="A93" s="2"/>
      <c r="B93" s="2"/>
      <c r="C93" s="2"/>
      <c r="D93" s="2"/>
      <c r="E93" s="2"/>
      <c r="F93" s="2"/>
    </row>
    <row r="94" spans="1:6" x14ac:dyDescent="0.25">
      <c r="A94" s="44" t="s">
        <v>18</v>
      </c>
      <c r="B94" s="44" t="s">
        <v>38</v>
      </c>
      <c r="C94" s="2"/>
      <c r="D94" s="2"/>
      <c r="E94" s="2"/>
      <c r="F94" s="2"/>
    </row>
    <row r="95" spans="1:6" x14ac:dyDescent="0.25">
      <c r="A95" s="17" t="s">
        <v>43</v>
      </c>
      <c r="B95" s="104">
        <v>0.05</v>
      </c>
      <c r="C95" s="2"/>
      <c r="D95" s="2"/>
      <c r="E95" s="2"/>
      <c r="F95" s="2"/>
    </row>
    <row r="96" spans="1:6" x14ac:dyDescent="0.25">
      <c r="A96" s="18" t="s">
        <v>44</v>
      </c>
      <c r="B96" s="106">
        <v>6.4999999999999997E-3</v>
      </c>
      <c r="C96" s="2"/>
      <c r="D96" s="2"/>
      <c r="E96" s="2"/>
      <c r="F96" s="2"/>
    </row>
    <row r="97" spans="1:8" x14ac:dyDescent="0.25">
      <c r="A97" s="4" t="s">
        <v>45</v>
      </c>
      <c r="B97" s="109">
        <v>0.03</v>
      </c>
      <c r="C97" s="2"/>
      <c r="D97" s="2"/>
      <c r="E97" s="2"/>
      <c r="F97" s="2"/>
    </row>
    <row r="98" spans="1:8" x14ac:dyDescent="0.25">
      <c r="A98" s="2"/>
      <c r="B98" s="15"/>
      <c r="C98" s="2"/>
      <c r="D98" s="2"/>
      <c r="E98" s="2"/>
      <c r="F98" s="2"/>
    </row>
    <row r="99" spans="1:8" ht="27.75" customHeight="1" x14ac:dyDescent="0.25">
      <c r="A99" s="16" t="s">
        <v>46</v>
      </c>
      <c r="B99" s="69">
        <f>SUM(B95:B97)</f>
        <v>8.6499999999999994E-2</v>
      </c>
      <c r="C99" s="2"/>
      <c r="D99" s="2"/>
      <c r="E99" s="2"/>
      <c r="F99" s="2"/>
    </row>
    <row r="100" spans="1:8" x14ac:dyDescent="0.25">
      <c r="A100" s="2"/>
      <c r="B100" s="2"/>
      <c r="C100" s="2"/>
      <c r="D100" s="2"/>
      <c r="E100" s="2"/>
      <c r="F100" s="2"/>
    </row>
    <row r="101" spans="1:8" x14ac:dyDescent="0.25">
      <c r="A101" s="51" t="s">
        <v>47</v>
      </c>
      <c r="B101" s="52"/>
      <c r="C101" s="52"/>
      <c r="D101" s="52"/>
      <c r="E101" s="172">
        <f>E90*1.0865</f>
        <v>383957.08198518923</v>
      </c>
      <c r="F101" s="7"/>
    </row>
    <row r="102" spans="1:8" x14ac:dyDescent="0.25">
      <c r="A102" s="3"/>
      <c r="B102" s="2"/>
      <c r="C102" s="2"/>
      <c r="D102" s="2"/>
      <c r="E102" s="88"/>
      <c r="F102" s="2"/>
    </row>
    <row r="103" spans="1:8" ht="15.75" x14ac:dyDescent="0.25">
      <c r="A103" s="45" t="s">
        <v>65</v>
      </c>
      <c r="B103" s="47"/>
      <c r="C103" s="47"/>
      <c r="D103" s="48"/>
      <c r="E103" s="70">
        <f>E101</f>
        <v>383957.08198518923</v>
      </c>
      <c r="F103" s="2"/>
      <c r="H103" s="180"/>
    </row>
    <row r="104" spans="1:8" x14ac:dyDescent="0.25">
      <c r="A104" s="83" t="s">
        <v>48</v>
      </c>
      <c r="B104" s="2"/>
      <c r="C104" s="2"/>
      <c r="D104" s="2"/>
      <c r="E104" s="2"/>
      <c r="F104" s="2"/>
    </row>
    <row r="105" spans="1:8" x14ac:dyDescent="0.25">
      <c r="A105" s="26" t="s">
        <v>49</v>
      </c>
      <c r="B105" s="1"/>
      <c r="C105" s="1"/>
      <c r="D105" s="1"/>
      <c r="E105" s="1"/>
      <c r="F105" s="1"/>
    </row>
    <row r="106" spans="1:8" x14ac:dyDescent="0.25">
      <c r="A106" s="27" t="s">
        <v>50</v>
      </c>
      <c r="B106" s="2"/>
      <c r="C106" s="2"/>
      <c r="D106" s="2"/>
      <c r="E106" s="2"/>
      <c r="F106" s="2"/>
    </row>
    <row r="107" spans="1:8" x14ac:dyDescent="0.25">
      <c r="A107" s="27" t="s">
        <v>51</v>
      </c>
      <c r="B107" s="2"/>
      <c r="C107" s="2"/>
      <c r="D107" s="2"/>
      <c r="E107" s="2"/>
      <c r="F107" s="2"/>
    </row>
    <row r="108" spans="1:8" x14ac:dyDescent="0.25">
      <c r="A108" s="27" t="s">
        <v>52</v>
      </c>
    </row>
    <row r="109" spans="1:8" x14ac:dyDescent="0.25">
      <c r="A109" s="27" t="s">
        <v>53</v>
      </c>
    </row>
    <row r="110" spans="1:8" x14ac:dyDescent="0.25">
      <c r="A110" s="27" t="s">
        <v>54</v>
      </c>
    </row>
    <row r="111" spans="1:8" x14ac:dyDescent="0.25">
      <c r="A111" s="27" t="s">
        <v>55</v>
      </c>
    </row>
    <row r="112" spans="1:8" x14ac:dyDescent="0.25">
      <c r="A112" s="26" t="s">
        <v>56</v>
      </c>
    </row>
    <row r="113" spans="1:1" x14ac:dyDescent="0.25">
      <c r="A113" s="27" t="s">
        <v>57</v>
      </c>
    </row>
    <row r="114" spans="1:1" x14ac:dyDescent="0.25">
      <c r="A114" s="27" t="s">
        <v>58</v>
      </c>
    </row>
    <row r="115" spans="1:1" x14ac:dyDescent="0.25">
      <c r="A115" s="29">
        <v>2</v>
      </c>
    </row>
    <row r="116" spans="1:1" x14ac:dyDescent="0.25">
      <c r="A116" s="27" t="s">
        <v>59</v>
      </c>
    </row>
    <row r="117" spans="1:1" x14ac:dyDescent="0.25">
      <c r="A117" s="29">
        <v>3</v>
      </c>
    </row>
    <row r="118" spans="1:1" x14ac:dyDescent="0.25">
      <c r="A118" s="27" t="s">
        <v>60</v>
      </c>
    </row>
    <row r="119" spans="1:1" x14ac:dyDescent="0.25">
      <c r="A119" s="29">
        <v>5</v>
      </c>
    </row>
    <row r="120" spans="1:1" x14ac:dyDescent="0.25">
      <c r="A120" s="27" t="s">
        <v>61</v>
      </c>
    </row>
    <row r="121" spans="1:1" x14ac:dyDescent="0.25">
      <c r="A121" s="27"/>
    </row>
    <row r="122" spans="1:1" x14ac:dyDescent="0.25">
      <c r="A122" s="28" t="s">
        <v>62</v>
      </c>
    </row>
    <row r="123" spans="1:1" x14ac:dyDescent="0.25">
      <c r="A123" s="2"/>
    </row>
    <row r="124" spans="1:1" x14ac:dyDescent="0.25">
      <c r="A124" s="31" t="s">
        <v>63</v>
      </c>
    </row>
  </sheetData>
  <mergeCells count="1"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N48"/>
  <sheetViews>
    <sheetView workbookViewId="0">
      <selection activeCell="I10" sqref="I10:I11"/>
    </sheetView>
  </sheetViews>
  <sheetFormatPr defaultColWidth="7.85546875" defaultRowHeight="15" x14ac:dyDescent="0.2"/>
  <cols>
    <col min="1" max="1" width="26.42578125" style="114" customWidth="1"/>
    <col min="2" max="2" width="12.28515625" style="114" customWidth="1"/>
    <col min="3" max="3" width="14.85546875" style="114" customWidth="1"/>
    <col min="4" max="4" width="14.42578125" style="114" customWidth="1"/>
    <col min="5" max="7" width="15.140625" style="114" customWidth="1"/>
    <col min="8" max="8" width="13.7109375" style="114" customWidth="1"/>
    <col min="9" max="9" width="16.28515625" style="114" customWidth="1"/>
    <col min="10" max="13" width="7.85546875" style="114"/>
    <col min="14" max="14" width="14.7109375" style="114" bestFit="1" customWidth="1"/>
    <col min="15" max="256" width="7.85546875" style="114"/>
    <col min="257" max="257" width="26.42578125" style="114" customWidth="1"/>
    <col min="258" max="258" width="12.28515625" style="114" customWidth="1"/>
    <col min="259" max="259" width="14.85546875" style="114" customWidth="1"/>
    <col min="260" max="260" width="14.42578125" style="114" customWidth="1"/>
    <col min="261" max="263" width="15.140625" style="114" customWidth="1"/>
    <col min="264" max="264" width="13.7109375" style="114" customWidth="1"/>
    <col min="265" max="265" width="16.28515625" style="114" customWidth="1"/>
    <col min="266" max="269" width="7.85546875" style="114"/>
    <col min="270" max="270" width="14.7109375" style="114" bestFit="1" customWidth="1"/>
    <col min="271" max="512" width="7.85546875" style="114"/>
    <col min="513" max="513" width="26.42578125" style="114" customWidth="1"/>
    <col min="514" max="514" width="12.28515625" style="114" customWidth="1"/>
    <col min="515" max="515" width="14.85546875" style="114" customWidth="1"/>
    <col min="516" max="516" width="14.42578125" style="114" customWidth="1"/>
    <col min="517" max="519" width="15.140625" style="114" customWidth="1"/>
    <col min="520" max="520" width="13.7109375" style="114" customWidth="1"/>
    <col min="521" max="521" width="16.28515625" style="114" customWidth="1"/>
    <col min="522" max="525" width="7.85546875" style="114"/>
    <col min="526" max="526" width="14.7109375" style="114" bestFit="1" customWidth="1"/>
    <col min="527" max="768" width="7.85546875" style="114"/>
    <col min="769" max="769" width="26.42578125" style="114" customWidth="1"/>
    <col min="770" max="770" width="12.28515625" style="114" customWidth="1"/>
    <col min="771" max="771" width="14.85546875" style="114" customWidth="1"/>
    <col min="772" max="772" width="14.42578125" style="114" customWidth="1"/>
    <col min="773" max="775" width="15.140625" style="114" customWidth="1"/>
    <col min="776" max="776" width="13.7109375" style="114" customWidth="1"/>
    <col min="777" max="777" width="16.28515625" style="114" customWidth="1"/>
    <col min="778" max="781" width="7.85546875" style="114"/>
    <col min="782" max="782" width="14.7109375" style="114" bestFit="1" customWidth="1"/>
    <col min="783" max="1024" width="7.85546875" style="114"/>
    <col min="1025" max="1025" width="26.42578125" style="114" customWidth="1"/>
    <col min="1026" max="1026" width="12.28515625" style="114" customWidth="1"/>
    <col min="1027" max="1027" width="14.85546875" style="114" customWidth="1"/>
    <col min="1028" max="1028" width="14.42578125" style="114" customWidth="1"/>
    <col min="1029" max="1031" width="15.140625" style="114" customWidth="1"/>
    <col min="1032" max="1032" width="13.7109375" style="114" customWidth="1"/>
    <col min="1033" max="1033" width="16.28515625" style="114" customWidth="1"/>
    <col min="1034" max="1037" width="7.85546875" style="114"/>
    <col min="1038" max="1038" width="14.7109375" style="114" bestFit="1" customWidth="1"/>
    <col min="1039" max="1280" width="7.85546875" style="114"/>
    <col min="1281" max="1281" width="26.42578125" style="114" customWidth="1"/>
    <col min="1282" max="1282" width="12.28515625" style="114" customWidth="1"/>
    <col min="1283" max="1283" width="14.85546875" style="114" customWidth="1"/>
    <col min="1284" max="1284" width="14.42578125" style="114" customWidth="1"/>
    <col min="1285" max="1287" width="15.140625" style="114" customWidth="1"/>
    <col min="1288" max="1288" width="13.7109375" style="114" customWidth="1"/>
    <col min="1289" max="1289" width="16.28515625" style="114" customWidth="1"/>
    <col min="1290" max="1293" width="7.85546875" style="114"/>
    <col min="1294" max="1294" width="14.7109375" style="114" bestFit="1" customWidth="1"/>
    <col min="1295" max="1536" width="7.85546875" style="114"/>
    <col min="1537" max="1537" width="26.42578125" style="114" customWidth="1"/>
    <col min="1538" max="1538" width="12.28515625" style="114" customWidth="1"/>
    <col min="1539" max="1539" width="14.85546875" style="114" customWidth="1"/>
    <col min="1540" max="1540" width="14.42578125" style="114" customWidth="1"/>
    <col min="1541" max="1543" width="15.140625" style="114" customWidth="1"/>
    <col min="1544" max="1544" width="13.7109375" style="114" customWidth="1"/>
    <col min="1545" max="1545" width="16.28515625" style="114" customWidth="1"/>
    <col min="1546" max="1549" width="7.85546875" style="114"/>
    <col min="1550" max="1550" width="14.7109375" style="114" bestFit="1" customWidth="1"/>
    <col min="1551" max="1792" width="7.85546875" style="114"/>
    <col min="1793" max="1793" width="26.42578125" style="114" customWidth="1"/>
    <col min="1794" max="1794" width="12.28515625" style="114" customWidth="1"/>
    <col min="1795" max="1795" width="14.85546875" style="114" customWidth="1"/>
    <col min="1796" max="1796" width="14.42578125" style="114" customWidth="1"/>
    <col min="1797" max="1799" width="15.140625" style="114" customWidth="1"/>
    <col min="1800" max="1800" width="13.7109375" style="114" customWidth="1"/>
    <col min="1801" max="1801" width="16.28515625" style="114" customWidth="1"/>
    <col min="1802" max="1805" width="7.85546875" style="114"/>
    <col min="1806" max="1806" width="14.7109375" style="114" bestFit="1" customWidth="1"/>
    <col min="1807" max="2048" width="7.85546875" style="114"/>
    <col min="2049" max="2049" width="26.42578125" style="114" customWidth="1"/>
    <col min="2050" max="2050" width="12.28515625" style="114" customWidth="1"/>
    <col min="2051" max="2051" width="14.85546875" style="114" customWidth="1"/>
    <col min="2052" max="2052" width="14.42578125" style="114" customWidth="1"/>
    <col min="2053" max="2055" width="15.140625" style="114" customWidth="1"/>
    <col min="2056" max="2056" width="13.7109375" style="114" customWidth="1"/>
    <col min="2057" max="2057" width="16.28515625" style="114" customWidth="1"/>
    <col min="2058" max="2061" width="7.85546875" style="114"/>
    <col min="2062" max="2062" width="14.7109375" style="114" bestFit="1" customWidth="1"/>
    <col min="2063" max="2304" width="7.85546875" style="114"/>
    <col min="2305" max="2305" width="26.42578125" style="114" customWidth="1"/>
    <col min="2306" max="2306" width="12.28515625" style="114" customWidth="1"/>
    <col min="2307" max="2307" width="14.85546875" style="114" customWidth="1"/>
    <col min="2308" max="2308" width="14.42578125" style="114" customWidth="1"/>
    <col min="2309" max="2311" width="15.140625" style="114" customWidth="1"/>
    <col min="2312" max="2312" width="13.7109375" style="114" customWidth="1"/>
    <col min="2313" max="2313" width="16.28515625" style="114" customWidth="1"/>
    <col min="2314" max="2317" width="7.85546875" style="114"/>
    <col min="2318" max="2318" width="14.7109375" style="114" bestFit="1" customWidth="1"/>
    <col min="2319" max="2560" width="7.85546875" style="114"/>
    <col min="2561" max="2561" width="26.42578125" style="114" customWidth="1"/>
    <col min="2562" max="2562" width="12.28515625" style="114" customWidth="1"/>
    <col min="2563" max="2563" width="14.85546875" style="114" customWidth="1"/>
    <col min="2564" max="2564" width="14.42578125" style="114" customWidth="1"/>
    <col min="2565" max="2567" width="15.140625" style="114" customWidth="1"/>
    <col min="2568" max="2568" width="13.7109375" style="114" customWidth="1"/>
    <col min="2569" max="2569" width="16.28515625" style="114" customWidth="1"/>
    <col min="2570" max="2573" width="7.85546875" style="114"/>
    <col min="2574" max="2574" width="14.7109375" style="114" bestFit="1" customWidth="1"/>
    <col min="2575" max="2816" width="7.85546875" style="114"/>
    <col min="2817" max="2817" width="26.42578125" style="114" customWidth="1"/>
    <col min="2818" max="2818" width="12.28515625" style="114" customWidth="1"/>
    <col min="2819" max="2819" width="14.85546875" style="114" customWidth="1"/>
    <col min="2820" max="2820" width="14.42578125" style="114" customWidth="1"/>
    <col min="2821" max="2823" width="15.140625" style="114" customWidth="1"/>
    <col min="2824" max="2824" width="13.7109375" style="114" customWidth="1"/>
    <col min="2825" max="2825" width="16.28515625" style="114" customWidth="1"/>
    <col min="2826" max="2829" width="7.85546875" style="114"/>
    <col min="2830" max="2830" width="14.7109375" style="114" bestFit="1" customWidth="1"/>
    <col min="2831" max="3072" width="7.85546875" style="114"/>
    <col min="3073" max="3073" width="26.42578125" style="114" customWidth="1"/>
    <col min="3074" max="3074" width="12.28515625" style="114" customWidth="1"/>
    <col min="3075" max="3075" width="14.85546875" style="114" customWidth="1"/>
    <col min="3076" max="3076" width="14.42578125" style="114" customWidth="1"/>
    <col min="3077" max="3079" width="15.140625" style="114" customWidth="1"/>
    <col min="3080" max="3080" width="13.7109375" style="114" customWidth="1"/>
    <col min="3081" max="3081" width="16.28515625" style="114" customWidth="1"/>
    <col min="3082" max="3085" width="7.85546875" style="114"/>
    <col min="3086" max="3086" width="14.7109375" style="114" bestFit="1" customWidth="1"/>
    <col min="3087" max="3328" width="7.85546875" style="114"/>
    <col min="3329" max="3329" width="26.42578125" style="114" customWidth="1"/>
    <col min="3330" max="3330" width="12.28515625" style="114" customWidth="1"/>
    <col min="3331" max="3331" width="14.85546875" style="114" customWidth="1"/>
    <col min="3332" max="3332" width="14.42578125" style="114" customWidth="1"/>
    <col min="3333" max="3335" width="15.140625" style="114" customWidth="1"/>
    <col min="3336" max="3336" width="13.7109375" style="114" customWidth="1"/>
    <col min="3337" max="3337" width="16.28515625" style="114" customWidth="1"/>
    <col min="3338" max="3341" width="7.85546875" style="114"/>
    <col min="3342" max="3342" width="14.7109375" style="114" bestFit="1" customWidth="1"/>
    <col min="3343" max="3584" width="7.85546875" style="114"/>
    <col min="3585" max="3585" width="26.42578125" style="114" customWidth="1"/>
    <col min="3586" max="3586" width="12.28515625" style="114" customWidth="1"/>
    <col min="3587" max="3587" width="14.85546875" style="114" customWidth="1"/>
    <col min="3588" max="3588" width="14.42578125" style="114" customWidth="1"/>
    <col min="3589" max="3591" width="15.140625" style="114" customWidth="1"/>
    <col min="3592" max="3592" width="13.7109375" style="114" customWidth="1"/>
    <col min="3593" max="3593" width="16.28515625" style="114" customWidth="1"/>
    <col min="3594" max="3597" width="7.85546875" style="114"/>
    <col min="3598" max="3598" width="14.7109375" style="114" bestFit="1" customWidth="1"/>
    <col min="3599" max="3840" width="7.85546875" style="114"/>
    <col min="3841" max="3841" width="26.42578125" style="114" customWidth="1"/>
    <col min="3842" max="3842" width="12.28515625" style="114" customWidth="1"/>
    <col min="3843" max="3843" width="14.85546875" style="114" customWidth="1"/>
    <col min="3844" max="3844" width="14.42578125" style="114" customWidth="1"/>
    <col min="3845" max="3847" width="15.140625" style="114" customWidth="1"/>
    <col min="3848" max="3848" width="13.7109375" style="114" customWidth="1"/>
    <col min="3849" max="3849" width="16.28515625" style="114" customWidth="1"/>
    <col min="3850" max="3853" width="7.85546875" style="114"/>
    <col min="3854" max="3854" width="14.7109375" style="114" bestFit="1" customWidth="1"/>
    <col min="3855" max="4096" width="7.85546875" style="114"/>
    <col min="4097" max="4097" width="26.42578125" style="114" customWidth="1"/>
    <col min="4098" max="4098" width="12.28515625" style="114" customWidth="1"/>
    <col min="4099" max="4099" width="14.85546875" style="114" customWidth="1"/>
    <col min="4100" max="4100" width="14.42578125" style="114" customWidth="1"/>
    <col min="4101" max="4103" width="15.140625" style="114" customWidth="1"/>
    <col min="4104" max="4104" width="13.7109375" style="114" customWidth="1"/>
    <col min="4105" max="4105" width="16.28515625" style="114" customWidth="1"/>
    <col min="4106" max="4109" width="7.85546875" style="114"/>
    <col min="4110" max="4110" width="14.7109375" style="114" bestFit="1" customWidth="1"/>
    <col min="4111" max="4352" width="7.85546875" style="114"/>
    <col min="4353" max="4353" width="26.42578125" style="114" customWidth="1"/>
    <col min="4354" max="4354" width="12.28515625" style="114" customWidth="1"/>
    <col min="4355" max="4355" width="14.85546875" style="114" customWidth="1"/>
    <col min="4356" max="4356" width="14.42578125" style="114" customWidth="1"/>
    <col min="4357" max="4359" width="15.140625" style="114" customWidth="1"/>
    <col min="4360" max="4360" width="13.7109375" style="114" customWidth="1"/>
    <col min="4361" max="4361" width="16.28515625" style="114" customWidth="1"/>
    <col min="4362" max="4365" width="7.85546875" style="114"/>
    <col min="4366" max="4366" width="14.7109375" style="114" bestFit="1" customWidth="1"/>
    <col min="4367" max="4608" width="7.85546875" style="114"/>
    <col min="4609" max="4609" width="26.42578125" style="114" customWidth="1"/>
    <col min="4610" max="4610" width="12.28515625" style="114" customWidth="1"/>
    <col min="4611" max="4611" width="14.85546875" style="114" customWidth="1"/>
    <col min="4612" max="4612" width="14.42578125" style="114" customWidth="1"/>
    <col min="4613" max="4615" width="15.140625" style="114" customWidth="1"/>
    <col min="4616" max="4616" width="13.7109375" style="114" customWidth="1"/>
    <col min="4617" max="4617" width="16.28515625" style="114" customWidth="1"/>
    <col min="4618" max="4621" width="7.85546875" style="114"/>
    <col min="4622" max="4622" width="14.7109375" style="114" bestFit="1" customWidth="1"/>
    <col min="4623" max="4864" width="7.85546875" style="114"/>
    <col min="4865" max="4865" width="26.42578125" style="114" customWidth="1"/>
    <col min="4866" max="4866" width="12.28515625" style="114" customWidth="1"/>
    <col min="4867" max="4867" width="14.85546875" style="114" customWidth="1"/>
    <col min="4868" max="4868" width="14.42578125" style="114" customWidth="1"/>
    <col min="4869" max="4871" width="15.140625" style="114" customWidth="1"/>
    <col min="4872" max="4872" width="13.7109375" style="114" customWidth="1"/>
    <col min="4873" max="4873" width="16.28515625" style="114" customWidth="1"/>
    <col min="4874" max="4877" width="7.85546875" style="114"/>
    <col min="4878" max="4878" width="14.7109375" style="114" bestFit="1" customWidth="1"/>
    <col min="4879" max="5120" width="7.85546875" style="114"/>
    <col min="5121" max="5121" width="26.42578125" style="114" customWidth="1"/>
    <col min="5122" max="5122" width="12.28515625" style="114" customWidth="1"/>
    <col min="5123" max="5123" width="14.85546875" style="114" customWidth="1"/>
    <col min="5124" max="5124" width="14.42578125" style="114" customWidth="1"/>
    <col min="5125" max="5127" width="15.140625" style="114" customWidth="1"/>
    <col min="5128" max="5128" width="13.7109375" style="114" customWidth="1"/>
    <col min="5129" max="5129" width="16.28515625" style="114" customWidth="1"/>
    <col min="5130" max="5133" width="7.85546875" style="114"/>
    <col min="5134" max="5134" width="14.7109375" style="114" bestFit="1" customWidth="1"/>
    <col min="5135" max="5376" width="7.85546875" style="114"/>
    <col min="5377" max="5377" width="26.42578125" style="114" customWidth="1"/>
    <col min="5378" max="5378" width="12.28515625" style="114" customWidth="1"/>
    <col min="5379" max="5379" width="14.85546875" style="114" customWidth="1"/>
    <col min="5380" max="5380" width="14.42578125" style="114" customWidth="1"/>
    <col min="5381" max="5383" width="15.140625" style="114" customWidth="1"/>
    <col min="5384" max="5384" width="13.7109375" style="114" customWidth="1"/>
    <col min="5385" max="5385" width="16.28515625" style="114" customWidth="1"/>
    <col min="5386" max="5389" width="7.85546875" style="114"/>
    <col min="5390" max="5390" width="14.7109375" style="114" bestFit="1" customWidth="1"/>
    <col min="5391" max="5632" width="7.85546875" style="114"/>
    <col min="5633" max="5633" width="26.42578125" style="114" customWidth="1"/>
    <col min="5634" max="5634" width="12.28515625" style="114" customWidth="1"/>
    <col min="5635" max="5635" width="14.85546875" style="114" customWidth="1"/>
    <col min="5636" max="5636" width="14.42578125" style="114" customWidth="1"/>
    <col min="5637" max="5639" width="15.140625" style="114" customWidth="1"/>
    <col min="5640" max="5640" width="13.7109375" style="114" customWidth="1"/>
    <col min="5641" max="5641" width="16.28515625" style="114" customWidth="1"/>
    <col min="5642" max="5645" width="7.85546875" style="114"/>
    <col min="5646" max="5646" width="14.7109375" style="114" bestFit="1" customWidth="1"/>
    <col min="5647" max="5888" width="7.85546875" style="114"/>
    <col min="5889" max="5889" width="26.42578125" style="114" customWidth="1"/>
    <col min="5890" max="5890" width="12.28515625" style="114" customWidth="1"/>
    <col min="5891" max="5891" width="14.85546875" style="114" customWidth="1"/>
    <col min="5892" max="5892" width="14.42578125" style="114" customWidth="1"/>
    <col min="5893" max="5895" width="15.140625" style="114" customWidth="1"/>
    <col min="5896" max="5896" width="13.7109375" style="114" customWidth="1"/>
    <col min="5897" max="5897" width="16.28515625" style="114" customWidth="1"/>
    <col min="5898" max="5901" width="7.85546875" style="114"/>
    <col min="5902" max="5902" width="14.7109375" style="114" bestFit="1" customWidth="1"/>
    <col min="5903" max="6144" width="7.85546875" style="114"/>
    <col min="6145" max="6145" width="26.42578125" style="114" customWidth="1"/>
    <col min="6146" max="6146" width="12.28515625" style="114" customWidth="1"/>
    <col min="6147" max="6147" width="14.85546875" style="114" customWidth="1"/>
    <col min="6148" max="6148" width="14.42578125" style="114" customWidth="1"/>
    <col min="6149" max="6151" width="15.140625" style="114" customWidth="1"/>
    <col min="6152" max="6152" width="13.7109375" style="114" customWidth="1"/>
    <col min="6153" max="6153" width="16.28515625" style="114" customWidth="1"/>
    <col min="6154" max="6157" width="7.85546875" style="114"/>
    <col min="6158" max="6158" width="14.7109375" style="114" bestFit="1" customWidth="1"/>
    <col min="6159" max="6400" width="7.85546875" style="114"/>
    <col min="6401" max="6401" width="26.42578125" style="114" customWidth="1"/>
    <col min="6402" max="6402" width="12.28515625" style="114" customWidth="1"/>
    <col min="6403" max="6403" width="14.85546875" style="114" customWidth="1"/>
    <col min="6404" max="6404" width="14.42578125" style="114" customWidth="1"/>
    <col min="6405" max="6407" width="15.140625" style="114" customWidth="1"/>
    <col min="6408" max="6408" width="13.7109375" style="114" customWidth="1"/>
    <col min="6409" max="6409" width="16.28515625" style="114" customWidth="1"/>
    <col min="6410" max="6413" width="7.85546875" style="114"/>
    <col min="6414" max="6414" width="14.7109375" style="114" bestFit="1" customWidth="1"/>
    <col min="6415" max="6656" width="7.85546875" style="114"/>
    <col min="6657" max="6657" width="26.42578125" style="114" customWidth="1"/>
    <col min="6658" max="6658" width="12.28515625" style="114" customWidth="1"/>
    <col min="6659" max="6659" width="14.85546875" style="114" customWidth="1"/>
    <col min="6660" max="6660" width="14.42578125" style="114" customWidth="1"/>
    <col min="6661" max="6663" width="15.140625" style="114" customWidth="1"/>
    <col min="6664" max="6664" width="13.7109375" style="114" customWidth="1"/>
    <col min="6665" max="6665" width="16.28515625" style="114" customWidth="1"/>
    <col min="6666" max="6669" width="7.85546875" style="114"/>
    <col min="6670" max="6670" width="14.7109375" style="114" bestFit="1" customWidth="1"/>
    <col min="6671" max="6912" width="7.85546875" style="114"/>
    <col min="6913" max="6913" width="26.42578125" style="114" customWidth="1"/>
    <col min="6914" max="6914" width="12.28515625" style="114" customWidth="1"/>
    <col min="6915" max="6915" width="14.85546875" style="114" customWidth="1"/>
    <col min="6916" max="6916" width="14.42578125" style="114" customWidth="1"/>
    <col min="6917" max="6919" width="15.140625" style="114" customWidth="1"/>
    <col min="6920" max="6920" width="13.7109375" style="114" customWidth="1"/>
    <col min="6921" max="6921" width="16.28515625" style="114" customWidth="1"/>
    <col min="6922" max="6925" width="7.85546875" style="114"/>
    <col min="6926" max="6926" width="14.7109375" style="114" bestFit="1" customWidth="1"/>
    <col min="6927" max="7168" width="7.85546875" style="114"/>
    <col min="7169" max="7169" width="26.42578125" style="114" customWidth="1"/>
    <col min="7170" max="7170" width="12.28515625" style="114" customWidth="1"/>
    <col min="7171" max="7171" width="14.85546875" style="114" customWidth="1"/>
    <col min="7172" max="7172" width="14.42578125" style="114" customWidth="1"/>
    <col min="7173" max="7175" width="15.140625" style="114" customWidth="1"/>
    <col min="7176" max="7176" width="13.7109375" style="114" customWidth="1"/>
    <col min="7177" max="7177" width="16.28515625" style="114" customWidth="1"/>
    <col min="7178" max="7181" width="7.85546875" style="114"/>
    <col min="7182" max="7182" width="14.7109375" style="114" bestFit="1" customWidth="1"/>
    <col min="7183" max="7424" width="7.85546875" style="114"/>
    <col min="7425" max="7425" width="26.42578125" style="114" customWidth="1"/>
    <col min="7426" max="7426" width="12.28515625" style="114" customWidth="1"/>
    <col min="7427" max="7427" width="14.85546875" style="114" customWidth="1"/>
    <col min="7428" max="7428" width="14.42578125" style="114" customWidth="1"/>
    <col min="7429" max="7431" width="15.140625" style="114" customWidth="1"/>
    <col min="7432" max="7432" width="13.7109375" style="114" customWidth="1"/>
    <col min="7433" max="7433" width="16.28515625" style="114" customWidth="1"/>
    <col min="7434" max="7437" width="7.85546875" style="114"/>
    <col min="7438" max="7438" width="14.7109375" style="114" bestFit="1" customWidth="1"/>
    <col min="7439" max="7680" width="7.85546875" style="114"/>
    <col min="7681" max="7681" width="26.42578125" style="114" customWidth="1"/>
    <col min="7682" max="7682" width="12.28515625" style="114" customWidth="1"/>
    <col min="7683" max="7683" width="14.85546875" style="114" customWidth="1"/>
    <col min="7684" max="7684" width="14.42578125" style="114" customWidth="1"/>
    <col min="7685" max="7687" width="15.140625" style="114" customWidth="1"/>
    <col min="7688" max="7688" width="13.7109375" style="114" customWidth="1"/>
    <col min="7689" max="7689" width="16.28515625" style="114" customWidth="1"/>
    <col min="7690" max="7693" width="7.85546875" style="114"/>
    <col min="7694" max="7694" width="14.7109375" style="114" bestFit="1" customWidth="1"/>
    <col min="7695" max="7936" width="7.85546875" style="114"/>
    <col min="7937" max="7937" width="26.42578125" style="114" customWidth="1"/>
    <col min="7938" max="7938" width="12.28515625" style="114" customWidth="1"/>
    <col min="7939" max="7939" width="14.85546875" style="114" customWidth="1"/>
    <col min="7940" max="7940" width="14.42578125" style="114" customWidth="1"/>
    <col min="7941" max="7943" width="15.140625" style="114" customWidth="1"/>
    <col min="7944" max="7944" width="13.7109375" style="114" customWidth="1"/>
    <col min="7945" max="7945" width="16.28515625" style="114" customWidth="1"/>
    <col min="7946" max="7949" width="7.85546875" style="114"/>
    <col min="7950" max="7950" width="14.7109375" style="114" bestFit="1" customWidth="1"/>
    <col min="7951" max="8192" width="7.85546875" style="114"/>
    <col min="8193" max="8193" width="26.42578125" style="114" customWidth="1"/>
    <col min="8194" max="8194" width="12.28515625" style="114" customWidth="1"/>
    <col min="8195" max="8195" width="14.85546875" style="114" customWidth="1"/>
    <col min="8196" max="8196" width="14.42578125" style="114" customWidth="1"/>
    <col min="8197" max="8199" width="15.140625" style="114" customWidth="1"/>
    <col min="8200" max="8200" width="13.7109375" style="114" customWidth="1"/>
    <col min="8201" max="8201" width="16.28515625" style="114" customWidth="1"/>
    <col min="8202" max="8205" width="7.85546875" style="114"/>
    <col min="8206" max="8206" width="14.7109375" style="114" bestFit="1" customWidth="1"/>
    <col min="8207" max="8448" width="7.85546875" style="114"/>
    <col min="8449" max="8449" width="26.42578125" style="114" customWidth="1"/>
    <col min="8450" max="8450" width="12.28515625" style="114" customWidth="1"/>
    <col min="8451" max="8451" width="14.85546875" style="114" customWidth="1"/>
    <col min="8452" max="8452" width="14.42578125" style="114" customWidth="1"/>
    <col min="8453" max="8455" width="15.140625" style="114" customWidth="1"/>
    <col min="8456" max="8456" width="13.7109375" style="114" customWidth="1"/>
    <col min="8457" max="8457" width="16.28515625" style="114" customWidth="1"/>
    <col min="8458" max="8461" width="7.85546875" style="114"/>
    <col min="8462" max="8462" width="14.7109375" style="114" bestFit="1" customWidth="1"/>
    <col min="8463" max="8704" width="7.85546875" style="114"/>
    <col min="8705" max="8705" width="26.42578125" style="114" customWidth="1"/>
    <col min="8706" max="8706" width="12.28515625" style="114" customWidth="1"/>
    <col min="8707" max="8707" width="14.85546875" style="114" customWidth="1"/>
    <col min="8708" max="8708" width="14.42578125" style="114" customWidth="1"/>
    <col min="8709" max="8711" width="15.140625" style="114" customWidth="1"/>
    <col min="8712" max="8712" width="13.7109375" style="114" customWidth="1"/>
    <col min="8713" max="8713" width="16.28515625" style="114" customWidth="1"/>
    <col min="8714" max="8717" width="7.85546875" style="114"/>
    <col min="8718" max="8718" width="14.7109375" style="114" bestFit="1" customWidth="1"/>
    <col min="8719" max="8960" width="7.85546875" style="114"/>
    <col min="8961" max="8961" width="26.42578125" style="114" customWidth="1"/>
    <col min="8962" max="8962" width="12.28515625" style="114" customWidth="1"/>
    <col min="8963" max="8963" width="14.85546875" style="114" customWidth="1"/>
    <col min="8964" max="8964" width="14.42578125" style="114" customWidth="1"/>
    <col min="8965" max="8967" width="15.140625" style="114" customWidth="1"/>
    <col min="8968" max="8968" width="13.7109375" style="114" customWidth="1"/>
    <col min="8969" max="8969" width="16.28515625" style="114" customWidth="1"/>
    <col min="8970" max="8973" width="7.85546875" style="114"/>
    <col min="8974" max="8974" width="14.7109375" style="114" bestFit="1" customWidth="1"/>
    <col min="8975" max="9216" width="7.85546875" style="114"/>
    <col min="9217" max="9217" width="26.42578125" style="114" customWidth="1"/>
    <col min="9218" max="9218" width="12.28515625" style="114" customWidth="1"/>
    <col min="9219" max="9219" width="14.85546875" style="114" customWidth="1"/>
    <col min="9220" max="9220" width="14.42578125" style="114" customWidth="1"/>
    <col min="9221" max="9223" width="15.140625" style="114" customWidth="1"/>
    <col min="9224" max="9224" width="13.7109375" style="114" customWidth="1"/>
    <col min="9225" max="9225" width="16.28515625" style="114" customWidth="1"/>
    <col min="9226" max="9229" width="7.85546875" style="114"/>
    <col min="9230" max="9230" width="14.7109375" style="114" bestFit="1" customWidth="1"/>
    <col min="9231" max="9472" width="7.85546875" style="114"/>
    <col min="9473" max="9473" width="26.42578125" style="114" customWidth="1"/>
    <col min="9474" max="9474" width="12.28515625" style="114" customWidth="1"/>
    <col min="9475" max="9475" width="14.85546875" style="114" customWidth="1"/>
    <col min="9476" max="9476" width="14.42578125" style="114" customWidth="1"/>
    <col min="9477" max="9479" width="15.140625" style="114" customWidth="1"/>
    <col min="9480" max="9480" width="13.7109375" style="114" customWidth="1"/>
    <col min="9481" max="9481" width="16.28515625" style="114" customWidth="1"/>
    <col min="9482" max="9485" width="7.85546875" style="114"/>
    <col min="9486" max="9486" width="14.7109375" style="114" bestFit="1" customWidth="1"/>
    <col min="9487" max="9728" width="7.85546875" style="114"/>
    <col min="9729" max="9729" width="26.42578125" style="114" customWidth="1"/>
    <col min="9730" max="9730" width="12.28515625" style="114" customWidth="1"/>
    <col min="9731" max="9731" width="14.85546875" style="114" customWidth="1"/>
    <col min="9732" max="9732" width="14.42578125" style="114" customWidth="1"/>
    <col min="9733" max="9735" width="15.140625" style="114" customWidth="1"/>
    <col min="9736" max="9736" width="13.7109375" style="114" customWidth="1"/>
    <col min="9737" max="9737" width="16.28515625" style="114" customWidth="1"/>
    <col min="9738" max="9741" width="7.85546875" style="114"/>
    <col min="9742" max="9742" width="14.7109375" style="114" bestFit="1" customWidth="1"/>
    <col min="9743" max="9984" width="7.85546875" style="114"/>
    <col min="9985" max="9985" width="26.42578125" style="114" customWidth="1"/>
    <col min="9986" max="9986" width="12.28515625" style="114" customWidth="1"/>
    <col min="9987" max="9987" width="14.85546875" style="114" customWidth="1"/>
    <col min="9988" max="9988" width="14.42578125" style="114" customWidth="1"/>
    <col min="9989" max="9991" width="15.140625" style="114" customWidth="1"/>
    <col min="9992" max="9992" width="13.7109375" style="114" customWidth="1"/>
    <col min="9993" max="9993" width="16.28515625" style="114" customWidth="1"/>
    <col min="9994" max="9997" width="7.85546875" style="114"/>
    <col min="9998" max="9998" width="14.7109375" style="114" bestFit="1" customWidth="1"/>
    <col min="9999" max="10240" width="7.85546875" style="114"/>
    <col min="10241" max="10241" width="26.42578125" style="114" customWidth="1"/>
    <col min="10242" max="10242" width="12.28515625" style="114" customWidth="1"/>
    <col min="10243" max="10243" width="14.85546875" style="114" customWidth="1"/>
    <col min="10244" max="10244" width="14.42578125" style="114" customWidth="1"/>
    <col min="10245" max="10247" width="15.140625" style="114" customWidth="1"/>
    <col min="10248" max="10248" width="13.7109375" style="114" customWidth="1"/>
    <col min="10249" max="10249" width="16.28515625" style="114" customWidth="1"/>
    <col min="10250" max="10253" width="7.85546875" style="114"/>
    <col min="10254" max="10254" width="14.7109375" style="114" bestFit="1" customWidth="1"/>
    <col min="10255" max="10496" width="7.85546875" style="114"/>
    <col min="10497" max="10497" width="26.42578125" style="114" customWidth="1"/>
    <col min="10498" max="10498" width="12.28515625" style="114" customWidth="1"/>
    <col min="10499" max="10499" width="14.85546875" style="114" customWidth="1"/>
    <col min="10500" max="10500" width="14.42578125" style="114" customWidth="1"/>
    <col min="10501" max="10503" width="15.140625" style="114" customWidth="1"/>
    <col min="10504" max="10504" width="13.7109375" style="114" customWidth="1"/>
    <col min="10505" max="10505" width="16.28515625" style="114" customWidth="1"/>
    <col min="10506" max="10509" width="7.85546875" style="114"/>
    <col min="10510" max="10510" width="14.7109375" style="114" bestFit="1" customWidth="1"/>
    <col min="10511" max="10752" width="7.85546875" style="114"/>
    <col min="10753" max="10753" width="26.42578125" style="114" customWidth="1"/>
    <col min="10754" max="10754" width="12.28515625" style="114" customWidth="1"/>
    <col min="10755" max="10755" width="14.85546875" style="114" customWidth="1"/>
    <col min="10756" max="10756" width="14.42578125" style="114" customWidth="1"/>
    <col min="10757" max="10759" width="15.140625" style="114" customWidth="1"/>
    <col min="10760" max="10760" width="13.7109375" style="114" customWidth="1"/>
    <col min="10761" max="10761" width="16.28515625" style="114" customWidth="1"/>
    <col min="10762" max="10765" width="7.85546875" style="114"/>
    <col min="10766" max="10766" width="14.7109375" style="114" bestFit="1" customWidth="1"/>
    <col min="10767" max="11008" width="7.85546875" style="114"/>
    <col min="11009" max="11009" width="26.42578125" style="114" customWidth="1"/>
    <col min="11010" max="11010" width="12.28515625" style="114" customWidth="1"/>
    <col min="11011" max="11011" width="14.85546875" style="114" customWidth="1"/>
    <col min="11012" max="11012" width="14.42578125" style="114" customWidth="1"/>
    <col min="11013" max="11015" width="15.140625" style="114" customWidth="1"/>
    <col min="11016" max="11016" width="13.7109375" style="114" customWidth="1"/>
    <col min="11017" max="11017" width="16.28515625" style="114" customWidth="1"/>
    <col min="11018" max="11021" width="7.85546875" style="114"/>
    <col min="11022" max="11022" width="14.7109375" style="114" bestFit="1" customWidth="1"/>
    <col min="11023" max="11264" width="7.85546875" style="114"/>
    <col min="11265" max="11265" width="26.42578125" style="114" customWidth="1"/>
    <col min="11266" max="11266" width="12.28515625" style="114" customWidth="1"/>
    <col min="11267" max="11267" width="14.85546875" style="114" customWidth="1"/>
    <col min="11268" max="11268" width="14.42578125" style="114" customWidth="1"/>
    <col min="11269" max="11271" width="15.140625" style="114" customWidth="1"/>
    <col min="11272" max="11272" width="13.7109375" style="114" customWidth="1"/>
    <col min="11273" max="11273" width="16.28515625" style="114" customWidth="1"/>
    <col min="11274" max="11277" width="7.85546875" style="114"/>
    <col min="11278" max="11278" width="14.7109375" style="114" bestFit="1" customWidth="1"/>
    <col min="11279" max="11520" width="7.85546875" style="114"/>
    <col min="11521" max="11521" width="26.42578125" style="114" customWidth="1"/>
    <col min="11522" max="11522" width="12.28515625" style="114" customWidth="1"/>
    <col min="11523" max="11523" width="14.85546875" style="114" customWidth="1"/>
    <col min="11524" max="11524" width="14.42578125" style="114" customWidth="1"/>
    <col min="11525" max="11527" width="15.140625" style="114" customWidth="1"/>
    <col min="11528" max="11528" width="13.7109375" style="114" customWidth="1"/>
    <col min="11529" max="11529" width="16.28515625" style="114" customWidth="1"/>
    <col min="11530" max="11533" width="7.85546875" style="114"/>
    <col min="11534" max="11534" width="14.7109375" style="114" bestFit="1" customWidth="1"/>
    <col min="11535" max="11776" width="7.85546875" style="114"/>
    <col min="11777" max="11777" width="26.42578125" style="114" customWidth="1"/>
    <col min="11778" max="11778" width="12.28515625" style="114" customWidth="1"/>
    <col min="11779" max="11779" width="14.85546875" style="114" customWidth="1"/>
    <col min="11780" max="11780" width="14.42578125" style="114" customWidth="1"/>
    <col min="11781" max="11783" width="15.140625" style="114" customWidth="1"/>
    <col min="11784" max="11784" width="13.7109375" style="114" customWidth="1"/>
    <col min="11785" max="11785" width="16.28515625" style="114" customWidth="1"/>
    <col min="11786" max="11789" width="7.85546875" style="114"/>
    <col min="11790" max="11790" width="14.7109375" style="114" bestFit="1" customWidth="1"/>
    <col min="11791" max="12032" width="7.85546875" style="114"/>
    <col min="12033" max="12033" width="26.42578125" style="114" customWidth="1"/>
    <col min="12034" max="12034" width="12.28515625" style="114" customWidth="1"/>
    <col min="12035" max="12035" width="14.85546875" style="114" customWidth="1"/>
    <col min="12036" max="12036" width="14.42578125" style="114" customWidth="1"/>
    <col min="12037" max="12039" width="15.140625" style="114" customWidth="1"/>
    <col min="12040" max="12040" width="13.7109375" style="114" customWidth="1"/>
    <col min="12041" max="12041" width="16.28515625" style="114" customWidth="1"/>
    <col min="12042" max="12045" width="7.85546875" style="114"/>
    <col min="12046" max="12046" width="14.7109375" style="114" bestFit="1" customWidth="1"/>
    <col min="12047" max="12288" width="7.85546875" style="114"/>
    <col min="12289" max="12289" width="26.42578125" style="114" customWidth="1"/>
    <col min="12290" max="12290" width="12.28515625" style="114" customWidth="1"/>
    <col min="12291" max="12291" width="14.85546875" style="114" customWidth="1"/>
    <col min="12292" max="12292" width="14.42578125" style="114" customWidth="1"/>
    <col min="12293" max="12295" width="15.140625" style="114" customWidth="1"/>
    <col min="12296" max="12296" width="13.7109375" style="114" customWidth="1"/>
    <col min="12297" max="12297" width="16.28515625" style="114" customWidth="1"/>
    <col min="12298" max="12301" width="7.85546875" style="114"/>
    <col min="12302" max="12302" width="14.7109375" style="114" bestFit="1" customWidth="1"/>
    <col min="12303" max="12544" width="7.85546875" style="114"/>
    <col min="12545" max="12545" width="26.42578125" style="114" customWidth="1"/>
    <col min="12546" max="12546" width="12.28515625" style="114" customWidth="1"/>
    <col min="12547" max="12547" width="14.85546875" style="114" customWidth="1"/>
    <col min="12548" max="12548" width="14.42578125" style="114" customWidth="1"/>
    <col min="12549" max="12551" width="15.140625" style="114" customWidth="1"/>
    <col min="12552" max="12552" width="13.7109375" style="114" customWidth="1"/>
    <col min="12553" max="12553" width="16.28515625" style="114" customWidth="1"/>
    <col min="12554" max="12557" width="7.85546875" style="114"/>
    <col min="12558" max="12558" width="14.7109375" style="114" bestFit="1" customWidth="1"/>
    <col min="12559" max="12800" width="7.85546875" style="114"/>
    <col min="12801" max="12801" width="26.42578125" style="114" customWidth="1"/>
    <col min="12802" max="12802" width="12.28515625" style="114" customWidth="1"/>
    <col min="12803" max="12803" width="14.85546875" style="114" customWidth="1"/>
    <col min="12804" max="12804" width="14.42578125" style="114" customWidth="1"/>
    <col min="12805" max="12807" width="15.140625" style="114" customWidth="1"/>
    <col min="12808" max="12808" width="13.7109375" style="114" customWidth="1"/>
    <col min="12809" max="12809" width="16.28515625" style="114" customWidth="1"/>
    <col min="12810" max="12813" width="7.85546875" style="114"/>
    <col min="12814" max="12814" width="14.7109375" style="114" bestFit="1" customWidth="1"/>
    <col min="12815" max="13056" width="7.85546875" style="114"/>
    <col min="13057" max="13057" width="26.42578125" style="114" customWidth="1"/>
    <col min="13058" max="13058" width="12.28515625" style="114" customWidth="1"/>
    <col min="13059" max="13059" width="14.85546875" style="114" customWidth="1"/>
    <col min="13060" max="13060" width="14.42578125" style="114" customWidth="1"/>
    <col min="13061" max="13063" width="15.140625" style="114" customWidth="1"/>
    <col min="13064" max="13064" width="13.7109375" style="114" customWidth="1"/>
    <col min="13065" max="13065" width="16.28515625" style="114" customWidth="1"/>
    <col min="13066" max="13069" width="7.85546875" style="114"/>
    <col min="13070" max="13070" width="14.7109375" style="114" bestFit="1" customWidth="1"/>
    <col min="13071" max="13312" width="7.85546875" style="114"/>
    <col min="13313" max="13313" width="26.42578125" style="114" customWidth="1"/>
    <col min="13314" max="13314" width="12.28515625" style="114" customWidth="1"/>
    <col min="13315" max="13315" width="14.85546875" style="114" customWidth="1"/>
    <col min="13316" max="13316" width="14.42578125" style="114" customWidth="1"/>
    <col min="13317" max="13319" width="15.140625" style="114" customWidth="1"/>
    <col min="13320" max="13320" width="13.7109375" style="114" customWidth="1"/>
    <col min="13321" max="13321" width="16.28515625" style="114" customWidth="1"/>
    <col min="13322" max="13325" width="7.85546875" style="114"/>
    <col min="13326" max="13326" width="14.7109375" style="114" bestFit="1" customWidth="1"/>
    <col min="13327" max="13568" width="7.85546875" style="114"/>
    <col min="13569" max="13569" width="26.42578125" style="114" customWidth="1"/>
    <col min="13570" max="13570" width="12.28515625" style="114" customWidth="1"/>
    <col min="13571" max="13571" width="14.85546875" style="114" customWidth="1"/>
    <col min="13572" max="13572" width="14.42578125" style="114" customWidth="1"/>
    <col min="13573" max="13575" width="15.140625" style="114" customWidth="1"/>
    <col min="13576" max="13576" width="13.7109375" style="114" customWidth="1"/>
    <col min="13577" max="13577" width="16.28515625" style="114" customWidth="1"/>
    <col min="13578" max="13581" width="7.85546875" style="114"/>
    <col min="13582" max="13582" width="14.7109375" style="114" bestFit="1" customWidth="1"/>
    <col min="13583" max="13824" width="7.85546875" style="114"/>
    <col min="13825" max="13825" width="26.42578125" style="114" customWidth="1"/>
    <col min="13826" max="13826" width="12.28515625" style="114" customWidth="1"/>
    <col min="13827" max="13827" width="14.85546875" style="114" customWidth="1"/>
    <col min="13828" max="13828" width="14.42578125" style="114" customWidth="1"/>
    <col min="13829" max="13831" width="15.140625" style="114" customWidth="1"/>
    <col min="13832" max="13832" width="13.7109375" style="114" customWidth="1"/>
    <col min="13833" max="13833" width="16.28515625" style="114" customWidth="1"/>
    <col min="13834" max="13837" width="7.85546875" style="114"/>
    <col min="13838" max="13838" width="14.7109375" style="114" bestFit="1" customWidth="1"/>
    <col min="13839" max="14080" width="7.85546875" style="114"/>
    <col min="14081" max="14081" width="26.42578125" style="114" customWidth="1"/>
    <col min="14082" max="14082" width="12.28515625" style="114" customWidth="1"/>
    <col min="14083" max="14083" width="14.85546875" style="114" customWidth="1"/>
    <col min="14084" max="14084" width="14.42578125" style="114" customWidth="1"/>
    <col min="14085" max="14087" width="15.140625" style="114" customWidth="1"/>
    <col min="14088" max="14088" width="13.7109375" style="114" customWidth="1"/>
    <col min="14089" max="14089" width="16.28515625" style="114" customWidth="1"/>
    <col min="14090" max="14093" width="7.85546875" style="114"/>
    <col min="14094" max="14094" width="14.7109375" style="114" bestFit="1" customWidth="1"/>
    <col min="14095" max="14336" width="7.85546875" style="114"/>
    <col min="14337" max="14337" width="26.42578125" style="114" customWidth="1"/>
    <col min="14338" max="14338" width="12.28515625" style="114" customWidth="1"/>
    <col min="14339" max="14339" width="14.85546875" style="114" customWidth="1"/>
    <col min="14340" max="14340" width="14.42578125" style="114" customWidth="1"/>
    <col min="14341" max="14343" width="15.140625" style="114" customWidth="1"/>
    <col min="14344" max="14344" width="13.7109375" style="114" customWidth="1"/>
    <col min="14345" max="14345" width="16.28515625" style="114" customWidth="1"/>
    <col min="14346" max="14349" width="7.85546875" style="114"/>
    <col min="14350" max="14350" width="14.7109375" style="114" bestFit="1" customWidth="1"/>
    <col min="14351" max="14592" width="7.85546875" style="114"/>
    <col min="14593" max="14593" width="26.42578125" style="114" customWidth="1"/>
    <col min="14594" max="14594" width="12.28515625" style="114" customWidth="1"/>
    <col min="14595" max="14595" width="14.85546875" style="114" customWidth="1"/>
    <col min="14596" max="14596" width="14.42578125" style="114" customWidth="1"/>
    <col min="14597" max="14599" width="15.140625" style="114" customWidth="1"/>
    <col min="14600" max="14600" width="13.7109375" style="114" customWidth="1"/>
    <col min="14601" max="14601" width="16.28515625" style="114" customWidth="1"/>
    <col min="14602" max="14605" width="7.85546875" style="114"/>
    <col min="14606" max="14606" width="14.7109375" style="114" bestFit="1" customWidth="1"/>
    <col min="14607" max="14848" width="7.85546875" style="114"/>
    <col min="14849" max="14849" width="26.42578125" style="114" customWidth="1"/>
    <col min="14850" max="14850" width="12.28515625" style="114" customWidth="1"/>
    <col min="14851" max="14851" width="14.85546875" style="114" customWidth="1"/>
    <col min="14852" max="14852" width="14.42578125" style="114" customWidth="1"/>
    <col min="14853" max="14855" width="15.140625" style="114" customWidth="1"/>
    <col min="14856" max="14856" width="13.7109375" style="114" customWidth="1"/>
    <col min="14857" max="14857" width="16.28515625" style="114" customWidth="1"/>
    <col min="14858" max="14861" width="7.85546875" style="114"/>
    <col min="14862" max="14862" width="14.7109375" style="114" bestFit="1" customWidth="1"/>
    <col min="14863" max="15104" width="7.85546875" style="114"/>
    <col min="15105" max="15105" width="26.42578125" style="114" customWidth="1"/>
    <col min="15106" max="15106" width="12.28515625" style="114" customWidth="1"/>
    <col min="15107" max="15107" width="14.85546875" style="114" customWidth="1"/>
    <col min="15108" max="15108" width="14.42578125" style="114" customWidth="1"/>
    <col min="15109" max="15111" width="15.140625" style="114" customWidth="1"/>
    <col min="15112" max="15112" width="13.7109375" style="114" customWidth="1"/>
    <col min="15113" max="15113" width="16.28515625" style="114" customWidth="1"/>
    <col min="15114" max="15117" width="7.85546875" style="114"/>
    <col min="15118" max="15118" width="14.7109375" style="114" bestFit="1" customWidth="1"/>
    <col min="15119" max="15360" width="7.85546875" style="114"/>
    <col min="15361" max="15361" width="26.42578125" style="114" customWidth="1"/>
    <col min="15362" max="15362" width="12.28515625" style="114" customWidth="1"/>
    <col min="15363" max="15363" width="14.85546875" style="114" customWidth="1"/>
    <col min="15364" max="15364" width="14.42578125" style="114" customWidth="1"/>
    <col min="15365" max="15367" width="15.140625" style="114" customWidth="1"/>
    <col min="15368" max="15368" width="13.7109375" style="114" customWidth="1"/>
    <col min="15369" max="15369" width="16.28515625" style="114" customWidth="1"/>
    <col min="15370" max="15373" width="7.85546875" style="114"/>
    <col min="15374" max="15374" width="14.7109375" style="114" bestFit="1" customWidth="1"/>
    <col min="15375" max="15616" width="7.85546875" style="114"/>
    <col min="15617" max="15617" width="26.42578125" style="114" customWidth="1"/>
    <col min="15618" max="15618" width="12.28515625" style="114" customWidth="1"/>
    <col min="15619" max="15619" width="14.85546875" style="114" customWidth="1"/>
    <col min="15620" max="15620" width="14.42578125" style="114" customWidth="1"/>
    <col min="15621" max="15623" width="15.140625" style="114" customWidth="1"/>
    <col min="15624" max="15624" width="13.7109375" style="114" customWidth="1"/>
    <col min="15625" max="15625" width="16.28515625" style="114" customWidth="1"/>
    <col min="15626" max="15629" width="7.85546875" style="114"/>
    <col min="15630" max="15630" width="14.7109375" style="114" bestFit="1" customWidth="1"/>
    <col min="15631" max="15872" width="7.85546875" style="114"/>
    <col min="15873" max="15873" width="26.42578125" style="114" customWidth="1"/>
    <col min="15874" max="15874" width="12.28515625" style="114" customWidth="1"/>
    <col min="15875" max="15875" width="14.85546875" style="114" customWidth="1"/>
    <col min="15876" max="15876" width="14.42578125" style="114" customWidth="1"/>
    <col min="15877" max="15879" width="15.140625" style="114" customWidth="1"/>
    <col min="15880" max="15880" width="13.7109375" style="114" customWidth="1"/>
    <col min="15881" max="15881" width="16.28515625" style="114" customWidth="1"/>
    <col min="15882" max="15885" width="7.85546875" style="114"/>
    <col min="15886" max="15886" width="14.7109375" style="114" bestFit="1" customWidth="1"/>
    <col min="15887" max="16128" width="7.85546875" style="114"/>
    <col min="16129" max="16129" width="26.42578125" style="114" customWidth="1"/>
    <col min="16130" max="16130" width="12.28515625" style="114" customWidth="1"/>
    <col min="16131" max="16131" width="14.85546875" style="114" customWidth="1"/>
    <col min="16132" max="16132" width="14.42578125" style="114" customWidth="1"/>
    <col min="16133" max="16135" width="15.140625" style="114" customWidth="1"/>
    <col min="16136" max="16136" width="13.7109375" style="114" customWidth="1"/>
    <col min="16137" max="16137" width="16.28515625" style="114" customWidth="1"/>
    <col min="16138" max="16141" width="7.85546875" style="114"/>
    <col min="16142" max="16142" width="14.7109375" style="114" bestFit="1" customWidth="1"/>
    <col min="16143" max="16384" width="7.85546875" style="114"/>
  </cols>
  <sheetData>
    <row r="5" spans="1:14" ht="18" x14ac:dyDescent="0.25">
      <c r="A5" s="176" t="s">
        <v>99</v>
      </c>
      <c r="B5" s="176"/>
      <c r="C5" s="176"/>
      <c r="D5" s="176"/>
      <c r="E5" s="176"/>
      <c r="F5" s="176"/>
      <c r="G5" s="176"/>
      <c r="H5" s="176"/>
      <c r="I5" s="176"/>
    </row>
    <row r="6" spans="1:14" s="118" customFormat="1" ht="23.25" x14ac:dyDescent="0.35">
      <c r="A6" s="115" t="s">
        <v>0</v>
      </c>
      <c r="B6" s="116"/>
      <c r="C6" s="117"/>
      <c r="D6" s="117"/>
      <c r="E6" s="117"/>
      <c r="F6" s="117"/>
      <c r="G6" s="117"/>
      <c r="H6" s="117"/>
      <c r="I6" s="117"/>
    </row>
    <row r="7" spans="1:14" s="120" customFormat="1" ht="15.75" x14ac:dyDescent="0.25">
      <c r="A7" s="119" t="s">
        <v>100</v>
      </c>
    </row>
    <row r="8" spans="1:14" s="122" customFormat="1" ht="25.5" x14ac:dyDescent="0.2">
      <c r="A8" s="121" t="s">
        <v>3</v>
      </c>
      <c r="B8" s="121" t="s">
        <v>101</v>
      </c>
      <c r="C8" s="121" t="s">
        <v>102</v>
      </c>
      <c r="D8" s="121" t="s">
        <v>103</v>
      </c>
      <c r="E8" s="121" t="s">
        <v>104</v>
      </c>
      <c r="F8" s="121" t="s">
        <v>105</v>
      </c>
      <c r="G8" s="121" t="s">
        <v>106</v>
      </c>
      <c r="H8" s="121" t="s">
        <v>107</v>
      </c>
      <c r="I8" s="121" t="s">
        <v>108</v>
      </c>
      <c r="N8" s="122" t="s">
        <v>120</v>
      </c>
    </row>
    <row r="9" spans="1:14" customFormat="1" x14ac:dyDescent="0.25">
      <c r="A9" s="123" t="s">
        <v>109</v>
      </c>
      <c r="B9" s="124"/>
      <c r="C9" s="125"/>
      <c r="D9" s="126"/>
      <c r="E9" s="126"/>
      <c r="F9" s="126"/>
      <c r="G9" s="126"/>
      <c r="H9" s="126"/>
      <c r="I9" s="127"/>
      <c r="K9" s="128" t="s">
        <v>110</v>
      </c>
    </row>
    <row r="10" spans="1:14" customFormat="1" x14ac:dyDescent="0.25">
      <c r="A10" s="129" t="s">
        <v>66</v>
      </c>
      <c r="B10" s="130">
        <v>1</v>
      </c>
      <c r="C10" s="131">
        <v>40.5</v>
      </c>
      <c r="D10" s="132">
        <v>11</v>
      </c>
      <c r="E10" s="133">
        <v>0</v>
      </c>
      <c r="F10" s="133">
        <f>(((C10*2.2*9)*B10)*1.7+((C10*11*3)*B10)*2)</f>
        <v>4036.23</v>
      </c>
      <c r="G10" s="133">
        <v>0</v>
      </c>
      <c r="H10" s="133">
        <f>C10*220*B10</f>
        <v>8910</v>
      </c>
      <c r="I10" s="134">
        <f t="shared" ref="I10:I12" si="0">E10+F10+G10+H10</f>
        <v>12946.23</v>
      </c>
      <c r="K10">
        <v>1.04</v>
      </c>
      <c r="N10">
        <f t="shared" ref="N10:N17" si="1">170*C10*B10</f>
        <v>6885</v>
      </c>
    </row>
    <row r="11" spans="1:14" customFormat="1" x14ac:dyDescent="0.25">
      <c r="A11" s="129" t="s">
        <v>111</v>
      </c>
      <c r="B11" s="130">
        <v>1</v>
      </c>
      <c r="C11" s="135">
        <f>19.24*1.3</f>
        <v>25.012</v>
      </c>
      <c r="D11" s="132">
        <v>11</v>
      </c>
      <c r="E11" s="133">
        <v>0</v>
      </c>
      <c r="F11" s="133">
        <f>(((C11*2.2*9)*B11)*1.7+((C11*11*3)*B11)*2)</f>
        <v>2492.6959200000001</v>
      </c>
      <c r="G11" s="133">
        <v>0</v>
      </c>
      <c r="H11" s="133">
        <f>C11*220*B11</f>
        <v>5502.64</v>
      </c>
      <c r="I11" s="134">
        <f t="shared" si="0"/>
        <v>7995.3359200000004</v>
      </c>
      <c r="N11">
        <f t="shared" si="1"/>
        <v>4252.04</v>
      </c>
    </row>
    <row r="12" spans="1:14" customFormat="1" x14ac:dyDescent="0.25">
      <c r="A12" s="129" t="s">
        <v>67</v>
      </c>
      <c r="B12" s="130">
        <v>1</v>
      </c>
      <c r="C12" s="136">
        <v>17.68</v>
      </c>
      <c r="D12" s="132">
        <v>11</v>
      </c>
      <c r="E12" s="133">
        <v>0</v>
      </c>
      <c r="F12" s="133">
        <f>(((C12*2.2*9)*B12)*1.7+((C12*11*5)*B12)*2)</f>
        <v>2539.9088000000002</v>
      </c>
      <c r="G12" s="133">
        <v>0</v>
      </c>
      <c r="H12" s="133">
        <f t="shared" ref="H12" si="2">C12*220*B12</f>
        <v>3889.6</v>
      </c>
      <c r="I12" s="134">
        <f t="shared" si="0"/>
        <v>6429.5087999999996</v>
      </c>
      <c r="N12">
        <f t="shared" si="1"/>
        <v>3005.6</v>
      </c>
    </row>
    <row r="13" spans="1:14" customFormat="1" x14ac:dyDescent="0.25">
      <c r="A13" s="137" t="s">
        <v>112</v>
      </c>
      <c r="B13" s="130"/>
      <c r="C13" s="136"/>
      <c r="D13" s="132"/>
      <c r="E13" s="133"/>
      <c r="F13" s="133"/>
      <c r="G13" s="133"/>
      <c r="H13" s="133"/>
      <c r="I13" s="138"/>
      <c r="N13">
        <f t="shared" si="1"/>
        <v>0</v>
      </c>
    </row>
    <row r="14" spans="1:14" customFormat="1" x14ac:dyDescent="0.25">
      <c r="A14" s="129" t="s">
        <v>68</v>
      </c>
      <c r="B14" s="130">
        <v>4</v>
      </c>
      <c r="C14" s="136">
        <f>(2133.56/220)*1.04</f>
        <v>10.085920000000002</v>
      </c>
      <c r="D14" s="132">
        <v>11</v>
      </c>
      <c r="E14" s="133">
        <v>0</v>
      </c>
      <c r="F14" s="133">
        <f t="shared" ref="F14:F17" si="3">(((C14*2.2*9)*B14)*1.7+((C14*11*5)*B14)*2)</f>
        <v>5795.7730688000011</v>
      </c>
      <c r="G14" s="133">
        <v>0</v>
      </c>
      <c r="H14" s="133">
        <f>C14*220*B14</f>
        <v>8875.6096000000016</v>
      </c>
      <c r="I14" s="134">
        <f>E14+F14+G14+H14</f>
        <v>14671.382668800003</v>
      </c>
      <c r="N14">
        <f t="shared" si="1"/>
        <v>6858.4256000000014</v>
      </c>
    </row>
    <row r="15" spans="1:14" customFormat="1" x14ac:dyDescent="0.25">
      <c r="A15" s="129" t="s">
        <v>69</v>
      </c>
      <c r="B15" s="130">
        <v>5</v>
      </c>
      <c r="C15" s="136">
        <f>(1114.48/220)*1.04</f>
        <v>5.2684509090909097</v>
      </c>
      <c r="D15" s="132">
        <v>11</v>
      </c>
      <c r="E15" s="133">
        <v>0</v>
      </c>
      <c r="F15" s="133">
        <f t="shared" si="3"/>
        <v>3784.3282880000002</v>
      </c>
      <c r="G15" s="133">
        <v>0</v>
      </c>
      <c r="H15" s="133">
        <f>C15*220*B15</f>
        <v>5795.2960000000003</v>
      </c>
      <c r="I15" s="134">
        <f>E15+F15+G15+H15</f>
        <v>9579.6242880000009</v>
      </c>
      <c r="N15">
        <f t="shared" si="1"/>
        <v>4478.1832727272731</v>
      </c>
    </row>
    <row r="16" spans="1:14" customFormat="1" x14ac:dyDescent="0.25">
      <c r="A16" s="129" t="s">
        <v>70</v>
      </c>
      <c r="B16" s="130">
        <v>1</v>
      </c>
      <c r="C16" s="136">
        <f>(2002/220)*1.04</f>
        <v>9.4640000000000004</v>
      </c>
      <c r="D16" s="132">
        <v>11</v>
      </c>
      <c r="E16" s="133">
        <v>0</v>
      </c>
      <c r="F16" s="133">
        <f t="shared" si="3"/>
        <v>1359.59824</v>
      </c>
      <c r="G16" s="133">
        <v>0</v>
      </c>
      <c r="H16" s="133">
        <f>C16*220*B16</f>
        <v>2082.08</v>
      </c>
      <c r="I16" s="134">
        <f>E16+F16+G16+H16</f>
        <v>3441.6782400000002</v>
      </c>
      <c r="N16">
        <f t="shared" si="1"/>
        <v>1608.88</v>
      </c>
    </row>
    <row r="17" spans="1:14" customFormat="1" x14ac:dyDescent="0.25">
      <c r="A17" s="129" t="s">
        <v>71</v>
      </c>
      <c r="B17" s="130">
        <v>1</v>
      </c>
      <c r="C17" s="136">
        <f>(2002/220)*1.04</f>
        <v>9.4640000000000004</v>
      </c>
      <c r="D17" s="132">
        <v>11</v>
      </c>
      <c r="E17" s="133">
        <v>0</v>
      </c>
      <c r="F17" s="133">
        <f t="shared" si="3"/>
        <v>1359.59824</v>
      </c>
      <c r="G17" s="133">
        <v>0</v>
      </c>
      <c r="H17" s="133">
        <f>C17*220*B17</f>
        <v>2082.08</v>
      </c>
      <c r="I17" s="134">
        <f>E17+F17+G17+H17</f>
        <v>3441.6782400000002</v>
      </c>
      <c r="N17">
        <f t="shared" si="1"/>
        <v>1608.88</v>
      </c>
    </row>
    <row r="18" spans="1:14" customFormat="1" x14ac:dyDescent="0.25">
      <c r="A18" s="139"/>
      <c r="B18" s="130"/>
      <c r="C18" s="140"/>
      <c r="D18" s="132"/>
      <c r="E18" s="132"/>
      <c r="F18" s="132"/>
      <c r="G18" s="132"/>
      <c r="H18" s="141"/>
      <c r="I18" s="142"/>
    </row>
    <row r="19" spans="1:14" customFormat="1" x14ac:dyDescent="0.25">
      <c r="A19" s="137"/>
      <c r="B19" s="143"/>
      <c r="C19" s="140"/>
      <c r="D19" s="132"/>
      <c r="E19" s="132"/>
      <c r="F19" s="132"/>
      <c r="G19" s="132"/>
      <c r="H19" s="132"/>
      <c r="I19" s="144"/>
      <c r="N19" s="158">
        <f>SUM(N10:N17)</f>
        <v>28697.008872727278</v>
      </c>
    </row>
    <row r="20" spans="1:14" customFormat="1" x14ac:dyDescent="0.25">
      <c r="A20" s="145"/>
      <c r="B20" s="146"/>
      <c r="C20" s="140"/>
      <c r="D20" s="132"/>
      <c r="E20" s="147"/>
      <c r="F20" s="147"/>
      <c r="G20" s="147"/>
      <c r="H20" s="141"/>
      <c r="I20" s="142"/>
    </row>
    <row r="21" spans="1:14" customFormat="1" x14ac:dyDescent="0.25">
      <c r="A21" s="148" t="s">
        <v>113</v>
      </c>
      <c r="B21" s="149"/>
      <c r="C21" s="150"/>
      <c r="D21" s="151"/>
      <c r="E21" s="151"/>
      <c r="F21" s="151"/>
      <c r="G21" s="151"/>
      <c r="H21" s="151"/>
      <c r="I21" s="152"/>
    </row>
    <row r="22" spans="1:14" s="120" customFormat="1" x14ac:dyDescent="0.2">
      <c r="C22" s="153"/>
      <c r="D22" s="177" t="s">
        <v>114</v>
      </c>
      <c r="E22" s="178"/>
      <c r="F22" s="178"/>
      <c r="G22" s="178"/>
      <c r="H22" s="179"/>
      <c r="I22" s="154">
        <f>SUM(I10:I20)</f>
        <v>58505.438156800003</v>
      </c>
    </row>
    <row r="23" spans="1:14" s="120" customFormat="1" x14ac:dyDescent="0.2">
      <c r="A23" s="156"/>
      <c r="B23" s="157"/>
      <c r="C23" s="114"/>
    </row>
    <row r="24" spans="1:14" s="120" customFormat="1" ht="15.75" x14ac:dyDescent="0.25">
      <c r="A24" s="155"/>
      <c r="B24" s="114"/>
      <c r="C24" s="114"/>
    </row>
    <row r="25" spans="1:14" s="120" customFormat="1" x14ac:dyDescent="0.2">
      <c r="A25" s="159"/>
      <c r="B25" s="160" t="s">
        <v>121</v>
      </c>
      <c r="C25" s="160" t="s">
        <v>122</v>
      </c>
      <c r="D25" s="161" t="s">
        <v>123</v>
      </c>
      <c r="E25" s="161" t="s">
        <v>124</v>
      </c>
      <c r="F25" s="161" t="s">
        <v>125</v>
      </c>
      <c r="G25" s="161" t="s">
        <v>126</v>
      </c>
    </row>
    <row r="26" spans="1:14" s="120" customFormat="1" ht="12.75" x14ac:dyDescent="0.2">
      <c r="A26" s="129" t="s">
        <v>66</v>
      </c>
      <c r="B26" s="130">
        <v>1</v>
      </c>
      <c r="C26" s="162">
        <v>12</v>
      </c>
      <c r="D26" s="161">
        <v>5.4</v>
      </c>
      <c r="E26" s="161">
        <v>12.96</v>
      </c>
      <c r="F26" s="163">
        <v>10</v>
      </c>
      <c r="G26" s="164">
        <f>(B26*C26*(D26+E26+F26))+(33*(D26+E26))</f>
        <v>946.2</v>
      </c>
    </row>
    <row r="27" spans="1:14" s="120" customFormat="1" ht="12.75" x14ac:dyDescent="0.2">
      <c r="A27" s="129" t="s">
        <v>111</v>
      </c>
      <c r="B27" s="130">
        <v>1</v>
      </c>
      <c r="C27" s="162">
        <v>12</v>
      </c>
      <c r="D27" s="161">
        <v>5.4</v>
      </c>
      <c r="E27" s="161">
        <v>12.96</v>
      </c>
      <c r="F27" s="163">
        <v>10</v>
      </c>
      <c r="G27" s="164">
        <f>(B27*C27*(D27+E27+F27))+(33*(D27+E27))</f>
        <v>946.2</v>
      </c>
    </row>
    <row r="28" spans="1:14" s="120" customFormat="1" ht="12.75" x14ac:dyDescent="0.2">
      <c r="A28" s="129" t="s">
        <v>67</v>
      </c>
      <c r="B28" s="130">
        <v>1</v>
      </c>
      <c r="C28" s="162">
        <v>15</v>
      </c>
      <c r="D28" s="161">
        <v>5.4</v>
      </c>
      <c r="E28" s="161">
        <v>12.96</v>
      </c>
      <c r="F28" s="163">
        <v>10</v>
      </c>
      <c r="G28" s="164">
        <f>(B28*C28*(D28+E28+F28))</f>
        <v>425.4</v>
      </c>
    </row>
    <row r="29" spans="1:14" s="120" customFormat="1" ht="12.75" x14ac:dyDescent="0.2">
      <c r="A29" s="129" t="s">
        <v>68</v>
      </c>
      <c r="B29" s="130">
        <v>4</v>
      </c>
      <c r="C29" s="162">
        <v>15</v>
      </c>
      <c r="D29" s="161">
        <v>5.4</v>
      </c>
      <c r="E29" s="161">
        <v>12.96</v>
      </c>
      <c r="F29" s="163">
        <v>10</v>
      </c>
      <c r="G29" s="164">
        <f>(B29*C29*(D29+E29+F29))</f>
        <v>1701.6</v>
      </c>
    </row>
    <row r="30" spans="1:14" s="120" customFormat="1" ht="12.75" x14ac:dyDescent="0.2">
      <c r="A30" s="129" t="s">
        <v>69</v>
      </c>
      <c r="B30" s="130">
        <v>5</v>
      </c>
      <c r="C30" s="162">
        <v>15</v>
      </c>
      <c r="D30" s="161">
        <v>5.4</v>
      </c>
      <c r="E30" s="161">
        <v>12.96</v>
      </c>
      <c r="F30" s="163">
        <v>10</v>
      </c>
      <c r="G30" s="164">
        <f>(B30*C30*(D30+E30+F30))</f>
        <v>2127</v>
      </c>
    </row>
    <row r="31" spans="1:14" s="120" customFormat="1" ht="12.75" x14ac:dyDescent="0.2">
      <c r="A31" s="129" t="s">
        <v>70</v>
      </c>
      <c r="B31" s="130">
        <v>1</v>
      </c>
      <c r="C31" s="162">
        <v>15</v>
      </c>
      <c r="D31" s="161">
        <v>5.4</v>
      </c>
      <c r="E31" s="161">
        <v>12.96</v>
      </c>
      <c r="F31" s="163">
        <v>10</v>
      </c>
      <c r="G31" s="164">
        <f>(B31*C31*(D31+E31+F31))</f>
        <v>425.4</v>
      </c>
    </row>
    <row r="32" spans="1:14" s="120" customFormat="1" ht="12.75" x14ac:dyDescent="0.2">
      <c r="A32" s="129" t="s">
        <v>71</v>
      </c>
      <c r="B32" s="130">
        <v>1</v>
      </c>
      <c r="C32" s="162">
        <v>15</v>
      </c>
      <c r="D32" s="161">
        <v>5.4</v>
      </c>
      <c r="E32" s="161">
        <v>12.96</v>
      </c>
      <c r="F32" s="163">
        <v>10</v>
      </c>
      <c r="G32" s="164">
        <f>(B32*C32*(D32+E32+F32))</f>
        <v>425.4</v>
      </c>
    </row>
    <row r="33" spans="7:7" s="120" customFormat="1" ht="12.75" x14ac:dyDescent="0.2">
      <c r="G33" s="165">
        <f>SUM(G26:G32)</f>
        <v>6997.1999999999989</v>
      </c>
    </row>
    <row r="34" spans="7:7" s="120" customFormat="1" ht="12.75" x14ac:dyDescent="0.2"/>
    <row r="35" spans="7:7" s="120" customFormat="1" ht="12.75" x14ac:dyDescent="0.2"/>
    <row r="36" spans="7:7" s="120" customFormat="1" ht="12.75" x14ac:dyDescent="0.2"/>
    <row r="37" spans="7:7" s="120" customFormat="1" ht="12.75" x14ac:dyDescent="0.2"/>
    <row r="38" spans="7:7" s="120" customFormat="1" ht="12.75" x14ac:dyDescent="0.2"/>
    <row r="39" spans="7:7" s="120" customFormat="1" ht="12.75" x14ac:dyDescent="0.2"/>
    <row r="40" spans="7:7" s="120" customFormat="1" ht="12.75" x14ac:dyDescent="0.2"/>
    <row r="41" spans="7:7" s="120" customFormat="1" ht="12.75" x14ac:dyDescent="0.2"/>
    <row r="42" spans="7:7" s="120" customFormat="1" ht="12.75" x14ac:dyDescent="0.2"/>
    <row r="43" spans="7:7" s="120" customFormat="1" ht="12.75" x14ac:dyDescent="0.2"/>
    <row r="44" spans="7:7" s="120" customFormat="1" ht="12.75" x14ac:dyDescent="0.2"/>
    <row r="45" spans="7:7" s="120" customFormat="1" ht="12.75" x14ac:dyDescent="0.2"/>
    <row r="46" spans="7:7" s="120" customFormat="1" ht="12.75" x14ac:dyDescent="0.2"/>
    <row r="47" spans="7:7" s="120" customFormat="1" ht="12.75" x14ac:dyDescent="0.2"/>
    <row r="48" spans="7:7" s="120" customFormat="1" ht="12.75" x14ac:dyDescent="0.2"/>
  </sheetData>
  <mergeCells count="2">
    <mergeCell ref="A5:I5"/>
    <mergeCell ref="D22:H22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DFP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Celice Santana Souza</dc:creator>
  <cp:lastModifiedBy>Larissa Mesquita</cp:lastModifiedBy>
  <dcterms:created xsi:type="dcterms:W3CDTF">2015-06-16T16:59:49Z</dcterms:created>
  <dcterms:modified xsi:type="dcterms:W3CDTF">2018-01-19T20:55:17Z</dcterms:modified>
</cp:coreProperties>
</file>