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REFRATARIO\PC 861-L-18 FLASH\"/>
    </mc:Choice>
  </mc:AlternateContent>
  <bookViews>
    <workbookView xWindow="0" yWindow="0" windowWidth="20490" windowHeight="9045"/>
  </bookViews>
  <sheets>
    <sheet name="DFP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76" i="1" l="1"/>
  <c r="D75" i="1"/>
  <c r="D77" i="1"/>
  <c r="C59" i="1" l="1"/>
  <c r="C58" i="1"/>
  <c r="C57" i="1"/>
  <c r="C42" i="1"/>
  <c r="C69" i="1" l="1"/>
  <c r="F11" i="2"/>
  <c r="F15" i="2"/>
  <c r="F16" i="2"/>
  <c r="F10" i="2"/>
  <c r="C70" i="1" l="1"/>
  <c r="C68" i="1"/>
  <c r="C47" i="1"/>
  <c r="C67" i="1"/>
  <c r="G47" i="2"/>
  <c r="G48" i="2"/>
  <c r="G49" i="2"/>
  <c r="G50" i="2"/>
  <c r="G51" i="2"/>
  <c r="G52" i="2"/>
  <c r="G53" i="2"/>
  <c r="G54" i="2"/>
  <c r="G55" i="2"/>
  <c r="G56" i="2"/>
  <c r="G57" i="2"/>
  <c r="G58" i="2"/>
  <c r="G43" i="2"/>
  <c r="H16" i="2" l="1"/>
  <c r="H15" i="2"/>
  <c r="H11" i="2"/>
  <c r="I16" i="2"/>
  <c r="H10" i="2"/>
  <c r="C17" i="2"/>
  <c r="F17" i="2" s="1"/>
  <c r="D68" i="1"/>
  <c r="D67" i="1"/>
  <c r="D57" i="1"/>
  <c r="D52" i="1"/>
  <c r="D47" i="1"/>
  <c r="E16" i="1"/>
  <c r="E17" i="1"/>
  <c r="E18" i="1"/>
  <c r="E19" i="1"/>
  <c r="E20" i="1"/>
  <c r="G46" i="2"/>
  <c r="G59" i="2" s="1"/>
  <c r="G42" i="2"/>
  <c r="G41" i="2"/>
  <c r="G40" i="2"/>
  <c r="G39" i="2"/>
  <c r="G38" i="2"/>
  <c r="G37" i="2"/>
  <c r="G36" i="2"/>
  <c r="G35" i="2"/>
  <c r="G34" i="2"/>
  <c r="G33" i="2"/>
  <c r="G32" i="2"/>
  <c r="G31" i="2"/>
  <c r="C22" i="2"/>
  <c r="F22" i="2" s="1"/>
  <c r="C21" i="2"/>
  <c r="C20" i="2"/>
  <c r="F20" i="2" s="1"/>
  <c r="C19" i="2"/>
  <c r="C18" i="2"/>
  <c r="L17" i="2"/>
  <c r="L16" i="2"/>
  <c r="L15" i="2"/>
  <c r="C14" i="2"/>
  <c r="C13" i="2"/>
  <c r="F13" i="2" s="1"/>
  <c r="C12" i="2"/>
  <c r="L11" i="2"/>
  <c r="L10" i="2"/>
  <c r="B108" i="1"/>
  <c r="D74" i="1"/>
  <c r="D73" i="1"/>
  <c r="D72" i="1"/>
  <c r="D71" i="1"/>
  <c r="D70" i="1"/>
  <c r="D69" i="1"/>
  <c r="D66" i="1"/>
  <c r="D65" i="1"/>
  <c r="D64" i="1"/>
  <c r="D59" i="1"/>
  <c r="D58" i="1"/>
  <c r="D53" i="1"/>
  <c r="D51" i="1"/>
  <c r="D50" i="1"/>
  <c r="D49" i="1"/>
  <c r="D48" i="1"/>
  <c r="C46" i="1"/>
  <c r="D46" i="1" s="1"/>
  <c r="C45" i="1"/>
  <c r="D45" i="1" s="1"/>
  <c r="C44" i="1"/>
  <c r="D44" i="1" s="1"/>
  <c r="D43" i="1"/>
  <c r="D42" i="1"/>
  <c r="C41" i="1"/>
  <c r="D41" i="1" s="1"/>
  <c r="C40" i="1"/>
  <c r="D40" i="1" s="1"/>
  <c r="C39" i="1"/>
  <c r="D39" i="1" s="1"/>
  <c r="D38" i="1"/>
  <c r="C37" i="1"/>
  <c r="D37" i="1" s="1"/>
  <c r="C36" i="1"/>
  <c r="D36" i="1" s="1"/>
  <c r="E22" i="1"/>
  <c r="E21" i="1"/>
  <c r="E15" i="1"/>
  <c r="E14" i="1"/>
  <c r="E13" i="1"/>
  <c r="E12" i="1"/>
  <c r="E11" i="1"/>
  <c r="E10" i="1"/>
  <c r="E9" i="1"/>
  <c r="E8" i="1"/>
  <c r="L21" i="2" l="1"/>
  <c r="F21" i="2"/>
  <c r="H14" i="2"/>
  <c r="F14" i="2"/>
  <c r="I14" i="2" s="1"/>
  <c r="L18" i="2"/>
  <c r="F18" i="2"/>
  <c r="H12" i="2"/>
  <c r="F12" i="2"/>
  <c r="I12" i="2" s="1"/>
  <c r="L19" i="2"/>
  <c r="F19" i="2"/>
  <c r="I10" i="2"/>
  <c r="G44" i="2"/>
  <c r="L20" i="2"/>
  <c r="L22" i="2"/>
  <c r="H18" i="2"/>
  <c r="H22" i="2"/>
  <c r="I22" i="2" s="1"/>
  <c r="H13" i="2"/>
  <c r="I13" i="2" s="1"/>
  <c r="H17" i="2"/>
  <c r="I17" i="2" s="1"/>
  <c r="H21" i="2"/>
  <c r="H20" i="2"/>
  <c r="I20" i="2" s="1"/>
  <c r="H19" i="2"/>
  <c r="I11" i="2"/>
  <c r="I15" i="2"/>
  <c r="D54" i="1"/>
  <c r="E23" i="1"/>
  <c r="E24" i="1" s="1"/>
  <c r="E26" i="1" s="1"/>
  <c r="L12" i="2"/>
  <c r="L14" i="2"/>
  <c r="L13" i="2"/>
  <c r="D61" i="1"/>
  <c r="I18" i="2" l="1"/>
  <c r="L23" i="2"/>
  <c r="L24" i="2" s="1"/>
  <c r="G61" i="2"/>
  <c r="G63" i="2" s="1"/>
  <c r="I21" i="2"/>
  <c r="I19" i="2"/>
  <c r="C31" i="1"/>
  <c r="E33" i="1" s="1"/>
  <c r="E79" i="1" s="1"/>
  <c r="I27" i="2" l="1"/>
  <c r="C92" i="1"/>
  <c r="D92" i="1" s="1"/>
  <c r="D95" i="1" s="1"/>
  <c r="C85" i="1"/>
  <c r="D85" i="1" s="1"/>
  <c r="C83" i="1"/>
  <c r="D83" i="1" s="1"/>
  <c r="C84" i="1"/>
  <c r="D84" i="1" s="1"/>
  <c r="D87" i="1" l="1"/>
  <c r="E99" i="1" s="1"/>
  <c r="E110" i="1" s="1"/>
  <c r="E112" i="1" s="1"/>
</calcChain>
</file>

<file path=xl/comments1.xml><?xml version="1.0" encoding="utf-8"?>
<comments xmlns="http://schemas.openxmlformats.org/spreadsheetml/2006/main">
  <authors>
    <author>Risoterm - Obra Dow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</commentList>
</comments>
</file>

<file path=xl/sharedStrings.xml><?xml version="1.0" encoding="utf-8"?>
<sst xmlns="http://schemas.openxmlformats.org/spreadsheetml/2006/main" count="220" uniqueCount="140">
  <si>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</si>
  <si>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</si>
  <si>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</si>
  <si>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</si>
  <si>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</si>
  <si>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</si>
  <si>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</si>
  <si>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</si>
  <si>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</si>
  <si>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</si>
  <si>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</si>
  <si>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</si>
  <si>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</si>
  <si>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</si>
  <si>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</si>
  <si>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</si>
  <si>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</si>
  <si>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</si>
  <si>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</si>
  <si>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</si>
  <si>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</si>
  <si>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</si>
  <si>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</si>
  <si>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</si>
  <si>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</si>
  <si>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</si>
  <si>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</si>
  <si>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</si>
  <si>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</si>
  <si>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</si>
  <si>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</si>
  <si>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</si>
  <si>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</si>
  <si>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</si>
  <si>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</si>
  <si>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</si>
  <si>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</si>
  <si>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</si>
  <si>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</si>
  <si>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</si>
  <si>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</si>
  <si>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</si>
  <si>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</si>
  <si>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</si>
  <si>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</si>
  <si>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</si>
  <si>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</si>
  <si>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</si>
  <si>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</si>
  <si>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</si>
  <si>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</si>
  <si>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</si>
  <si>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</si>
  <si>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</si>
  <si>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</si>
  <si>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</si>
  <si>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</si>
  <si>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</si>
  <si>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</si>
  <si>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</si>
  <si>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</si>
  <si>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</si>
  <si>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</si>
  <si>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</si>
  <si>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</si>
  <si>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</si>
  <si>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Coordenador</t>
  </si>
  <si>
    <t>Téc. de Planejamento</t>
  </si>
  <si>
    <t>Téc. de Segurança</t>
  </si>
  <si>
    <t>Almoxarife</t>
  </si>
  <si>
    <t>Aux. Administrativo</t>
  </si>
  <si>
    <t>Supervisor</t>
  </si>
  <si>
    <t>Encarregado</t>
  </si>
  <si>
    <t>Pedreiro Refratarista</t>
  </si>
  <si>
    <t>Ajudante</t>
  </si>
  <si>
    <t>Marteleteiro</t>
  </si>
  <si>
    <t>Obs. Segurança</t>
  </si>
  <si>
    <t>Cortador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</si>
  <si>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</si>
  <si>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</si>
  <si>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</si>
  <si>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</si>
  <si>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</si>
  <si>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</si>
  <si>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Compressor de Ar</t>
  </si>
  <si>
    <t>vb</t>
  </si>
  <si>
    <t>Martelete</t>
  </si>
  <si>
    <t>Ponteira de Martelete</t>
  </si>
  <si>
    <t>Caminhão com motorista</t>
  </si>
  <si>
    <t>Maquina de Carga</t>
  </si>
  <si>
    <t>Empilhadeira</t>
  </si>
  <si>
    <t>vg</t>
  </si>
  <si>
    <t xml:space="preserve">Toldo 6 x 6 </t>
  </si>
  <si>
    <t>Container 6m - almox</t>
  </si>
  <si>
    <t>Container 6m - vest</t>
  </si>
  <si>
    <t>Container 6m - adm</t>
  </si>
  <si>
    <t>Perfuratriz</t>
  </si>
  <si>
    <t>Iluminaçao</t>
  </si>
  <si>
    <t>Exames Médicos</t>
  </si>
  <si>
    <t>Seguro de Acidentes Pessoais</t>
  </si>
  <si>
    <t>Fardamento</t>
  </si>
  <si>
    <t>EPI's</t>
  </si>
  <si>
    <t>Cesta Básica</t>
  </si>
  <si>
    <t>Higienização de EPI´S</t>
  </si>
  <si>
    <t>Apoio de Andaime</t>
  </si>
  <si>
    <t>Apoio de Caldeiraria</t>
  </si>
  <si>
    <t xml:space="preserve">Alimentação </t>
  </si>
  <si>
    <t>Prémio parada</t>
  </si>
  <si>
    <t>Adm. Central e Gerenciamento</t>
  </si>
  <si>
    <t>Despesas Financeiras</t>
  </si>
  <si>
    <t>Lucro Operacional</t>
  </si>
  <si>
    <t>Provisão p/ IRPJ e CSLL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</si>
  <si>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</si>
  <si>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</si>
  <si>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</si>
  <si>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</si>
  <si>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</si>
  <si>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</si>
  <si>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</si>
  <si>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</si>
  <si>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</si>
  <si>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</si>
  <si>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PRÊMIO PARADA</t>
  </si>
  <si>
    <t>Mão-de-Obra Indireta</t>
  </si>
  <si>
    <t>11 x 11</t>
  </si>
  <si>
    <r>
      <t>BASE: MARCO</t>
    </r>
    <r>
      <rPr>
        <sz val="10"/>
        <rFont val="Arial"/>
        <family val="2"/>
      </rPr>
      <t>/ 2015</t>
    </r>
  </si>
  <si>
    <t>Total Salários</t>
  </si>
  <si>
    <t>Qtd</t>
  </si>
  <si>
    <t>Dias</t>
  </si>
  <si>
    <t>desjejum</t>
  </si>
  <si>
    <t>almoço</t>
  </si>
  <si>
    <t>lanche</t>
  </si>
  <si>
    <t>Total</t>
  </si>
  <si>
    <t>DIA</t>
  </si>
  <si>
    <t>Ceia</t>
  </si>
  <si>
    <t>NOITE</t>
  </si>
  <si>
    <t>Carpinteiro</t>
  </si>
  <si>
    <t>Robo Brokk</t>
  </si>
  <si>
    <t>Passagem</t>
  </si>
  <si>
    <t>Hospedagem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</si>
</sst>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1"/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164" fontId="2" fillId="0" borderId="0" xfId="1" applyNumberFormat="1" applyFont="1" applyBorder="1"/>
    <xf numFmtId="0" fontId="2" fillId="0" borderId="5" xfId="1" applyFont="1" applyBorder="1" applyAlignment="1">
      <alignment vertical="center"/>
    </xf>
    <xf numFmtId="0" fontId="2" fillId="0" borderId="11" xfId="3" applyNumberFormat="1" applyFont="1" applyBorder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4" fillId="0" borderId="0" xfId="1" applyFont="1" applyAlignment="1">
      <alignment horizontal="left"/>
    </xf>
    <xf numFmtId="0" fontId="2" fillId="0" borderId="0" xfId="1" applyFont="1"/>
    <xf numFmtId="0" fontId="7" fillId="0" borderId="0" xfId="1" applyFont="1"/>
    <xf numFmtId="0" fontId="2" fillId="3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justify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vertical="center"/>
    </xf>
    <xf numFmtId="0" fontId="2" fillId="5" borderId="0" xfId="1" applyFont="1" applyFill="1" applyAlignment="1">
      <alignment horizontal="left"/>
    </xf>
    <xf numFmtId="0" fontId="2" fillId="5" borderId="4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/>
    </xf>
    <xf numFmtId="0" fontId="2" fillId="5" borderId="5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164" fontId="2" fillId="0" borderId="7" xfId="1" applyNumberFormat="1" applyFont="1" applyBorder="1" applyAlignment="1" applyProtection="1">
      <alignment vertical="center"/>
      <protection locked="0"/>
    </xf>
    <xf numFmtId="164" fontId="2" fillId="0" borderId="13" xfId="3" applyFont="1" applyBorder="1" applyAlignment="1" applyProtection="1">
      <alignment horizontal="center" vertical="center"/>
    </xf>
    <xf numFmtId="164" fontId="2" fillId="0" borderId="4" xfId="1" applyNumberFormat="1" applyFont="1" applyBorder="1" applyAlignment="1" applyProtection="1">
      <alignment vertical="center"/>
    </xf>
    <xf numFmtId="164" fontId="2" fillId="5" borderId="7" xfId="1" applyNumberFormat="1" applyFont="1" applyFill="1" applyBorder="1" applyAlignment="1" applyProtection="1">
      <alignment horizontal="right" vertical="center"/>
    </xf>
    <xf numFmtId="164" fontId="2" fillId="2" borderId="4" xfId="1" applyNumberFormat="1" applyFont="1" applyFill="1" applyBorder="1" applyAlignment="1" applyProtection="1">
      <alignment vertical="center"/>
    </xf>
    <xf numFmtId="10" fontId="2" fillId="2" borderId="4" xfId="1" applyNumberFormat="1" applyFont="1" applyFill="1" applyBorder="1" applyAlignment="1" applyProtection="1">
      <alignment horizontal="center" vertical="center"/>
    </xf>
    <xf numFmtId="164" fontId="3" fillId="3" borderId="4" xfId="3" applyFont="1" applyFill="1" applyBorder="1" applyAlignment="1" applyProtection="1">
      <alignment vertical="center"/>
    </xf>
    <xf numFmtId="0" fontId="1" fillId="0" borderId="10" xfId="1" applyBorder="1"/>
    <xf numFmtId="0" fontId="2" fillId="5" borderId="5" xfId="1" applyFont="1" applyFill="1" applyBorder="1" applyAlignment="1">
      <alignment horizontal="right" vertical="center"/>
    </xf>
    <xf numFmtId="10" fontId="2" fillId="5" borderId="4" xfId="2" applyNumberFormat="1" applyFont="1" applyFill="1" applyBorder="1" applyAlignment="1" applyProtection="1">
      <alignment vertical="center"/>
    </xf>
    <xf numFmtId="0" fontId="2" fillId="3" borderId="7" xfId="1" applyFont="1" applyFill="1" applyBorder="1" applyAlignment="1">
      <alignment horizontal="center" vertical="center" wrapText="1"/>
    </xf>
    <xf numFmtId="164" fontId="2" fillId="5" borderId="4" xfId="2" applyNumberFormat="1" applyFont="1" applyFill="1" applyBorder="1" applyAlignment="1" applyProtection="1">
      <alignment vertical="center"/>
    </xf>
    <xf numFmtId="0" fontId="2" fillId="2" borderId="0" xfId="1" applyFont="1" applyFill="1" applyBorder="1" applyAlignment="1">
      <alignment horizontal="left"/>
    </xf>
    <xf numFmtId="0" fontId="2" fillId="7" borderId="4" xfId="1" applyFont="1" applyFill="1" applyBorder="1" applyAlignment="1">
      <alignment horizontal="right" vertical="center"/>
    </xf>
    <xf numFmtId="164" fontId="2" fillId="7" borderId="4" xfId="1" applyNumberFormat="1" applyFont="1" applyFill="1" applyBorder="1" applyAlignment="1" applyProtection="1">
      <alignment horizontal="right" vertical="center"/>
    </xf>
    <xf numFmtId="0" fontId="2" fillId="8" borderId="4" xfId="1" applyFont="1" applyFill="1" applyBorder="1" applyAlignment="1">
      <alignment horizontal="right" vertical="center"/>
    </xf>
    <xf numFmtId="164" fontId="2" fillId="8" borderId="7" xfId="1" applyNumberFormat="1" applyFont="1" applyFill="1" applyBorder="1" applyAlignment="1" applyProtection="1">
      <alignment horizontal="right" vertical="center"/>
    </xf>
    <xf numFmtId="0" fontId="9" fillId="0" borderId="0" xfId="1" applyFont="1"/>
    <xf numFmtId="0" fontId="2" fillId="7" borderId="5" xfId="1" applyFont="1" applyFill="1" applyBorder="1" applyAlignment="1">
      <alignment vertical="center"/>
    </xf>
    <xf numFmtId="0" fontId="2" fillId="7" borderId="6" xfId="1" applyFont="1" applyFill="1" applyBorder="1" applyAlignment="1">
      <alignment vertical="center"/>
    </xf>
    <xf numFmtId="0" fontId="2" fillId="7" borderId="7" xfId="1" applyFont="1" applyFill="1" applyBorder="1" applyAlignment="1">
      <alignment vertical="center"/>
    </xf>
    <xf numFmtId="164" fontId="2" fillId="7" borderId="4" xfId="3" applyFont="1" applyFill="1" applyBorder="1" applyAlignment="1" applyProtection="1">
      <alignment vertical="center"/>
    </xf>
    <xf numFmtId="0" fontId="1" fillId="0" borderId="0" xfId="1" applyFont="1"/>
    <xf numFmtId="0" fontId="1" fillId="4" borderId="13" xfId="1" applyFont="1" applyFill="1" applyBorder="1" applyAlignment="1" applyProtection="1">
      <alignment vertical="center"/>
      <protection locked="0"/>
    </xf>
    <xf numFmtId="0" fontId="1" fillId="4" borderId="13" xfId="1" applyFont="1" applyFill="1" applyBorder="1" applyAlignment="1" applyProtection="1">
      <alignment horizontal="center"/>
      <protection locked="0"/>
    </xf>
    <xf numFmtId="164" fontId="1" fillId="4" borderId="13" xfId="3" applyFont="1" applyFill="1" applyBorder="1" applyAlignment="1" applyProtection="1">
      <alignment horizontal="center" wrapText="1"/>
      <protection locked="0"/>
    </xf>
    <xf numFmtId="0" fontId="1" fillId="4" borderId="13" xfId="3" applyNumberFormat="1" applyFont="1" applyFill="1" applyBorder="1" applyAlignment="1" applyProtection="1">
      <alignment horizontal="center" vertical="center"/>
      <protection locked="0"/>
    </xf>
    <xf numFmtId="164" fontId="1" fillId="3" borderId="13" xfId="3" applyFont="1" applyFill="1" applyBorder="1" applyAlignment="1" applyProtection="1">
      <alignment horizontal="center" vertical="center"/>
    </xf>
    <xf numFmtId="0" fontId="1" fillId="4" borderId="14" xfId="3" applyNumberFormat="1" applyFont="1" applyFill="1" applyBorder="1" applyAlignment="1" applyProtection="1">
      <alignment horizontal="center" vertical="center"/>
      <protection locked="0"/>
    </xf>
    <xf numFmtId="164" fontId="1" fillId="3" borderId="14" xfId="3" applyFont="1" applyFill="1" applyBorder="1" applyAlignment="1" applyProtection="1">
      <alignment horizontal="center" vertical="center"/>
    </xf>
    <xf numFmtId="0" fontId="1" fillId="0" borderId="6" xfId="1" applyFont="1" applyBorder="1" applyAlignment="1">
      <alignment horizontal="center"/>
    </xf>
    <xf numFmtId="164" fontId="1" fillId="0" borderId="6" xfId="3" applyFont="1" applyFill="1" applyBorder="1" applyAlignment="1" applyProtection="1">
      <alignment horizontal="center" wrapText="1"/>
      <protection locked="0"/>
    </xf>
    <xf numFmtId="0" fontId="2" fillId="0" borderId="5" xfId="1" applyFont="1" applyBorder="1" applyAlignment="1" applyProtection="1">
      <alignment vertical="center"/>
      <protection locked="0"/>
    </xf>
    <xf numFmtId="0" fontId="1" fillId="0" borderId="6" xfId="1" applyFont="1" applyBorder="1" applyProtection="1">
      <protection locked="0"/>
    </xf>
    <xf numFmtId="0" fontId="2" fillId="0" borderId="0" xfId="1" applyFont="1" applyBorder="1"/>
    <xf numFmtId="0" fontId="1" fillId="0" borderId="0" xfId="1" applyFont="1" applyBorder="1"/>
    <xf numFmtId="0" fontId="1" fillId="0" borderId="1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1" fillId="7" borderId="4" xfId="1" applyFont="1" applyFill="1" applyBorder="1"/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164" fontId="1" fillId="4" borderId="9" xfId="3" applyFont="1" applyFill="1" applyBorder="1" applyAlignment="1" applyProtection="1">
      <alignment horizontal="center"/>
      <protection locked="0"/>
    </xf>
    <xf numFmtId="164" fontId="1" fillId="3" borderId="9" xfId="1" applyNumberFormat="1" applyFont="1" applyFill="1" applyBorder="1" applyAlignment="1" applyProtection="1">
      <alignment horizontal="center"/>
    </xf>
    <xf numFmtId="0" fontId="1" fillId="0" borderId="0" xfId="1" applyFont="1" applyAlignment="1">
      <alignment horizontal="right"/>
    </xf>
    <xf numFmtId="0" fontId="1" fillId="0" borderId="12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164" fontId="1" fillId="3" borderId="20" xfId="1" applyNumberFormat="1" applyFont="1" applyFill="1" applyBorder="1" applyAlignment="1" applyProtection="1">
      <alignment horizontal="center"/>
    </xf>
    <xf numFmtId="0" fontId="1" fillId="0" borderId="19" xfId="1" applyFont="1" applyBorder="1"/>
    <xf numFmtId="164" fontId="1" fillId="3" borderId="19" xfId="1" applyNumberFormat="1" applyFont="1" applyFill="1" applyBorder="1" applyAlignment="1" applyProtection="1">
      <alignment horizontal="center"/>
    </xf>
    <xf numFmtId="0" fontId="1" fillId="0" borderId="9" xfId="1" applyFont="1" applyBorder="1"/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Border="1"/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164" fontId="1" fillId="0" borderId="0" xfId="1" applyNumberFormat="1"/>
    <xf numFmtId="164" fontId="0" fillId="0" borderId="0" xfId="0" applyNumberFormat="1"/>
    <xf numFmtId="0" fontId="1" fillId="0" borderId="3" xfId="1" applyFont="1" applyFill="1" applyBorder="1" applyProtection="1">
      <protection locked="0"/>
    </xf>
    <xf numFmtId="0" fontId="1" fillId="5" borderId="7" xfId="1" applyFont="1" applyFill="1" applyBorder="1" applyAlignment="1">
      <alignment vertic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4" fontId="1" fillId="3" borderId="8" xfId="3" applyFont="1" applyFill="1" applyBorder="1" applyAlignment="1" applyProtection="1">
      <alignment horizontal="center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64" fontId="1" fillId="3" borderId="9" xfId="3" applyFont="1" applyFill="1" applyBorder="1" applyAlignment="1" applyProtection="1">
      <alignment horizontal="center"/>
    </xf>
    <xf numFmtId="0" fontId="1" fillId="0" borderId="18" xfId="1" applyFont="1" applyFill="1" applyBorder="1" applyProtection="1">
      <protection locked="0"/>
    </xf>
    <xf numFmtId="10" fontId="1" fillId="4" borderId="17" xfId="1" applyNumberFormat="1" applyFont="1" applyFill="1" applyBorder="1" applyAlignment="1" applyProtection="1">
      <alignment horizontal="center"/>
      <protection locked="0"/>
    </xf>
    <xf numFmtId="164" fontId="1" fillId="3" borderId="17" xfId="3" applyFont="1" applyFill="1" applyBorder="1" applyAlignment="1" applyProtection="1">
      <alignment horizontal="center"/>
    </xf>
    <xf numFmtId="0" fontId="1" fillId="0" borderId="14" xfId="1" applyFont="1" applyFill="1" applyBorder="1" applyProtection="1">
      <protection locked="0"/>
    </xf>
    <xf numFmtId="10" fontId="1" fillId="4" borderId="14" xfId="1" applyNumberFormat="1" applyFont="1" applyFill="1" applyBorder="1" applyAlignment="1" applyProtection="1">
      <alignment horizontal="center"/>
      <protection locked="0"/>
    </xf>
    <xf numFmtId="164" fontId="1" fillId="3" borderId="14" xfId="3" applyFont="1" applyFill="1" applyBorder="1" applyAlignment="1" applyProtection="1">
      <alignment horizontal="center"/>
    </xf>
    <xf numFmtId="0" fontId="1" fillId="0" borderId="2" xfId="1" applyFont="1" applyBorder="1"/>
    <xf numFmtId="0" fontId="1" fillId="0" borderId="16" xfId="1" applyFont="1" applyFill="1" applyBorder="1" applyProtection="1">
      <protection locked="0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164" fontId="1" fillId="3" borderId="1" xfId="3" applyFont="1" applyFill="1" applyBorder="1" applyAlignment="1" applyProtection="1">
      <alignment horizontal="center"/>
    </xf>
    <xf numFmtId="0" fontId="1" fillId="0" borderId="8" xfId="1" applyFont="1" applyBorder="1"/>
    <xf numFmtId="43" fontId="1" fillId="0" borderId="0" xfId="1" applyNumberFormat="1" applyFont="1"/>
    <xf numFmtId="0" fontId="1" fillId="0" borderId="1" xfId="1" applyFont="1" applyBorder="1"/>
    <xf numFmtId="10" fontId="1" fillId="0" borderId="0" xfId="1" applyNumberFormat="1" applyFont="1" applyAlignment="1">
      <alignment horizontal="center"/>
    </xf>
    <xf numFmtId="43" fontId="1" fillId="0" borderId="0" xfId="1" applyNumberFormat="1" applyFont="1" applyAlignment="1">
      <alignment horizontal="center" vertical="center"/>
    </xf>
    <xf numFmtId="44" fontId="2" fillId="2" borderId="4" xfId="5" applyFont="1" applyFill="1" applyBorder="1" applyAlignment="1">
      <alignment horizontal="left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11" fillId="0" borderId="0" xfId="0" applyFont="1"/>
    <xf numFmtId="0" fontId="12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/>
    <xf numFmtId="11" fontId="14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64" fontId="1" fillId="0" borderId="8" xfId="4" applyNumberFormat="1" applyFont="1" applyFill="1" applyBorder="1" applyAlignment="1" applyProtection="1">
      <alignment horizontal="center" wrapText="1"/>
      <protection locked="0"/>
    </xf>
    <xf numFmtId="0" fontId="1" fillId="0" borderId="8" xfId="4" applyNumberFormat="1" applyFont="1" applyFill="1" applyBorder="1" applyAlignment="1" applyProtection="1">
      <alignment horizontal="center" vertical="center"/>
      <protection locked="0"/>
    </xf>
    <xf numFmtId="164" fontId="2" fillId="9" borderId="8" xfId="4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0" borderId="9" xfId="5" applyNumberFormat="1" applyFont="1" applyFill="1" applyBorder="1" applyAlignment="1" applyProtection="1">
      <alignment horizontal="center" wrapText="1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5" fontId="1" fillId="0" borderId="9" xfId="5" applyNumberFormat="1" applyFont="1" applyFill="1" applyBorder="1" applyAlignment="1" applyProtection="1">
      <alignment horizontal="center" vertical="center"/>
      <protection locked="0"/>
    </xf>
    <xf numFmtId="165" fontId="1" fillId="0" borderId="9" xfId="5" applyNumberFormat="1" applyFont="1" applyFill="1" applyBorder="1" applyAlignment="1">
      <alignment horizontal="center" vertical="center"/>
    </xf>
    <xf numFmtId="44" fontId="0" fillId="0" borderId="0" xfId="5" applyFont="1"/>
    <xf numFmtId="11" fontId="14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9" xfId="4" applyNumberFormat="1" applyFont="1" applyFill="1" applyBorder="1" applyAlignment="1" applyProtection="1">
      <alignment horizontal="center" wrapText="1"/>
      <protection locked="0"/>
    </xf>
    <xf numFmtId="164" fontId="1" fillId="0" borderId="9" xfId="4" applyNumberFormat="1" applyFont="1" applyFill="1" applyBorder="1" applyAlignment="1" applyProtection="1">
      <alignment horizontal="center" vertical="center"/>
      <protection locked="0"/>
    </xf>
    <xf numFmtId="164" fontId="1" fillId="9" borderId="9" xfId="4" applyNumberFormat="1" applyFont="1" applyFill="1" applyBorder="1" applyAlignment="1">
      <alignment horizontal="center" vertical="center"/>
    </xf>
    <xf numFmtId="44" fontId="0" fillId="10" borderId="0" xfId="5" applyFont="1" applyFill="1"/>
    <xf numFmtId="0" fontId="2" fillId="0" borderId="9" xfId="0" applyFont="1" applyFill="1" applyBorder="1" applyAlignment="1" applyProtection="1">
      <alignment horizontal="center"/>
      <protection locked="0"/>
    </xf>
    <xf numFmtId="164" fontId="2" fillId="9" borderId="9" xfId="4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164" fontId="1" fillId="0" borderId="0" xfId="4" applyNumberFormat="1" applyFont="1" applyFill="1" applyBorder="1" applyAlignment="1" applyProtection="1">
      <alignment horizontal="center" wrapText="1"/>
      <protection locked="0"/>
    </xf>
    <xf numFmtId="0" fontId="2" fillId="0" borderId="0" xfId="4" applyNumberFormat="1" applyFont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165" fontId="2" fillId="2" borderId="4" xfId="5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>
      <alignment horizontal="center"/>
    </xf>
    <xf numFmtId="44" fontId="1" fillId="0" borderId="4" xfId="5" applyFont="1" applyBorder="1" applyAlignment="1">
      <alignment horizontal="center" vertical="center"/>
    </xf>
    <xf numFmtId="44" fontId="2" fillId="9" borderId="4" xfId="0" applyNumberFormat="1" applyFont="1" applyFill="1" applyBorder="1"/>
    <xf numFmtId="44" fontId="2" fillId="10" borderId="0" xfId="0" applyNumberFormat="1" applyFont="1" applyFill="1"/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4" fontId="2" fillId="0" borderId="0" xfId="0" applyNumberFormat="1" applyFont="1" applyFill="1"/>
    <xf numFmtId="44" fontId="0" fillId="0" borderId="0" xfId="5" applyFont="1" applyFill="1"/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0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4" xfId="1" applyNumberFormat="1" applyFont="1" applyFill="1" applyBorder="1" applyAlignment="1" applyProtection="1">
      <alignment horizontal="center"/>
      <protection locked="0"/>
    </xf>
    <xf numFmtId="164" fontId="1" fillId="4" borderId="14" xfId="3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164" fontId="1" fillId="3" borderId="25" xfId="3" applyFont="1" applyFill="1" applyBorder="1" applyAlignment="1" applyProtection="1">
      <alignment horizontal="center"/>
    </xf>
  </cellXfs>
  <cellStyles count="6">
    <cellStyle name="Moeda" xfId="5" builtinId="4"/>
    <cellStyle name="Normal" xfId="0" builtinId="0"/>
    <cellStyle name="Normal 2" xfId="1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3" name="Imagem 2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105149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showGridLines="0" tabSelected="1" topLeftCell="A104" workbookViewId="0">
      <selection activeCell="D77" sqref="D77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23.5703125" customWidth="1"/>
    <col min="5" max="5" width="16.140625" customWidth="1"/>
    <col min="6" max="6" width="12" customWidth="1"/>
    <col min="7" max="7" width="13.42578125" customWidth="1"/>
    <col min="8" max="8" width="11.5703125" bestFit="1" customWidth="1"/>
  </cols>
  <sheetData>
    <row r="1" spans="1:5" ht="7.5" customHeight="1" thickBot="1" x14ac:dyDescent="0.3"/>
    <row r="2" spans="1:5" ht="24.75" customHeight="1" thickBot="1" x14ac:dyDescent="0.3">
      <c r="A2" s="158" t="s">
        <v>64</v>
      </c>
      <c r="B2" s="159"/>
      <c r="C2" s="159"/>
      <c r="D2" s="159"/>
      <c r="E2" s="160"/>
    </row>
    <row r="4" spans="1:5" x14ac:dyDescent="0.25">
      <c r="A4" s="22" t="s">
        <v>0</v>
      </c>
      <c r="B4" s="20" t="s">
        <v>1</v>
      </c>
      <c r="C4" s="20"/>
      <c r="D4" s="20"/>
      <c r="E4" s="20"/>
    </row>
    <row r="5" spans="1:5" x14ac:dyDescent="0.25">
      <c r="A5" s="48"/>
      <c r="B5" s="48"/>
      <c r="C5" s="48"/>
      <c r="D5" s="48"/>
      <c r="E5" s="48"/>
    </row>
    <row r="6" spans="1:5" x14ac:dyDescent="0.25">
      <c r="A6" s="14" t="s">
        <v>2</v>
      </c>
      <c r="B6" s="48"/>
      <c r="C6" s="48"/>
      <c r="D6" s="48"/>
      <c r="E6" s="48"/>
    </row>
    <row r="7" spans="1:5" ht="38.25" x14ac:dyDescent="0.2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</row>
    <row r="8" spans="1:5" x14ac:dyDescent="0.25">
      <c r="A8" s="49" t="s">
        <v>66</v>
      </c>
      <c r="B8" s="50">
        <v>60</v>
      </c>
      <c r="C8" s="51">
        <v>679.93200000000002</v>
      </c>
      <c r="D8" s="52">
        <v>1</v>
      </c>
      <c r="E8" s="53">
        <f t="shared" ref="E8:E10" si="0">C8*B8*D8</f>
        <v>40795.919999999998</v>
      </c>
    </row>
    <row r="9" spans="1:5" x14ac:dyDescent="0.25">
      <c r="A9" s="49" t="s">
        <v>67</v>
      </c>
      <c r="B9" s="50">
        <v>60</v>
      </c>
      <c r="C9" s="51">
        <v>403.92</v>
      </c>
      <c r="D9" s="52">
        <v>1</v>
      </c>
      <c r="E9" s="53">
        <f t="shared" si="0"/>
        <v>24235.200000000001</v>
      </c>
    </row>
    <row r="10" spans="1:5" x14ac:dyDescent="0.25">
      <c r="A10" s="49" t="s">
        <v>68</v>
      </c>
      <c r="B10" s="50">
        <v>15</v>
      </c>
      <c r="C10" s="51">
        <v>613.02388991999999</v>
      </c>
      <c r="D10" s="52">
        <v>4</v>
      </c>
      <c r="E10" s="53">
        <f t="shared" si="0"/>
        <v>36781.433395200002</v>
      </c>
    </row>
    <row r="11" spans="1:5" x14ac:dyDescent="0.25">
      <c r="A11" s="49" t="s">
        <v>69</v>
      </c>
      <c r="B11" s="50">
        <v>15</v>
      </c>
      <c r="C11" s="51">
        <v>356.32326080000001</v>
      </c>
      <c r="D11" s="52">
        <v>2</v>
      </c>
      <c r="E11" s="53">
        <f>C11*B11*D11</f>
        <v>10689.697824000001</v>
      </c>
    </row>
    <row r="12" spans="1:5" x14ac:dyDescent="0.25">
      <c r="A12" s="49" t="s">
        <v>70</v>
      </c>
      <c r="B12" s="50">
        <v>15</v>
      </c>
      <c r="C12" s="51">
        <v>301.485184</v>
      </c>
      <c r="D12" s="52">
        <v>1</v>
      </c>
      <c r="E12" s="53">
        <f t="shared" ref="E12:E22" si="1">C12*B12*D12</f>
        <v>4522.2777599999999</v>
      </c>
    </row>
    <row r="13" spans="1:5" x14ac:dyDescent="0.25">
      <c r="A13" s="49" t="s">
        <v>71</v>
      </c>
      <c r="B13" s="50">
        <v>15</v>
      </c>
      <c r="C13" s="51">
        <v>1060.16768</v>
      </c>
      <c r="D13" s="52">
        <v>4</v>
      </c>
      <c r="E13" s="53">
        <f t="shared" si="1"/>
        <v>63610.060799999999</v>
      </c>
    </row>
    <row r="14" spans="1:5" x14ac:dyDescent="0.25">
      <c r="A14" s="49" t="s">
        <v>72</v>
      </c>
      <c r="B14" s="50">
        <v>15</v>
      </c>
      <c r="C14" s="51">
        <v>563.21407999999997</v>
      </c>
      <c r="D14" s="52">
        <v>10</v>
      </c>
      <c r="E14" s="53">
        <f t="shared" si="1"/>
        <v>84482.111999999994</v>
      </c>
    </row>
    <row r="15" spans="1:5" x14ac:dyDescent="0.25">
      <c r="A15" s="49" t="s">
        <v>136</v>
      </c>
      <c r="B15" s="50">
        <v>15</v>
      </c>
      <c r="C15" s="51">
        <v>321.2970675200001</v>
      </c>
      <c r="D15" s="52">
        <v>16</v>
      </c>
      <c r="E15" s="53">
        <f t="shared" si="1"/>
        <v>77111.296204800019</v>
      </c>
    </row>
    <row r="16" spans="1:5" x14ac:dyDescent="0.25">
      <c r="A16" s="49" t="s">
        <v>73</v>
      </c>
      <c r="B16" s="50">
        <v>15</v>
      </c>
      <c r="C16" s="51">
        <v>321.2970675200001</v>
      </c>
      <c r="D16" s="52">
        <v>90</v>
      </c>
      <c r="E16" s="53">
        <f t="shared" ref="E16:E20" si="2">C16*B16*D16</f>
        <v>433751.04115200008</v>
      </c>
    </row>
    <row r="17" spans="1:5" x14ac:dyDescent="0.25">
      <c r="A17" s="49" t="s">
        <v>74</v>
      </c>
      <c r="B17" s="50">
        <v>15</v>
      </c>
      <c r="C17" s="51">
        <v>167.83177216000001</v>
      </c>
      <c r="D17" s="52">
        <v>120</v>
      </c>
      <c r="E17" s="53">
        <f t="shared" si="2"/>
        <v>302097.18988800002</v>
      </c>
    </row>
    <row r="18" spans="1:5" x14ac:dyDescent="0.25">
      <c r="A18" s="49" t="s">
        <v>75</v>
      </c>
      <c r="B18" s="50">
        <v>15</v>
      </c>
      <c r="C18" s="51">
        <v>288.10508480000004</v>
      </c>
      <c r="D18" s="52">
        <v>20</v>
      </c>
      <c r="E18" s="53">
        <f t="shared" si="2"/>
        <v>86431.525439999998</v>
      </c>
    </row>
    <row r="19" spans="1:5" x14ac:dyDescent="0.25">
      <c r="A19" s="49" t="s">
        <v>76</v>
      </c>
      <c r="B19" s="50">
        <v>15</v>
      </c>
      <c r="C19" s="51">
        <v>150.742592</v>
      </c>
      <c r="D19" s="52">
        <v>20</v>
      </c>
      <c r="E19" s="53">
        <f t="shared" si="2"/>
        <v>45222.777600000001</v>
      </c>
    </row>
    <row r="20" spans="1:5" x14ac:dyDescent="0.25">
      <c r="A20" s="49" t="s">
        <v>77</v>
      </c>
      <c r="B20" s="50">
        <v>15</v>
      </c>
      <c r="C20" s="51">
        <v>301.48518400000006</v>
      </c>
      <c r="D20" s="52">
        <v>9</v>
      </c>
      <c r="E20" s="53">
        <f t="shared" si="2"/>
        <v>40700.499840000004</v>
      </c>
    </row>
    <row r="21" spans="1:5" x14ac:dyDescent="0.25">
      <c r="A21" s="49"/>
      <c r="B21" s="50"/>
      <c r="C21" s="51"/>
      <c r="D21" s="52"/>
      <c r="E21" s="53">
        <f t="shared" si="1"/>
        <v>0</v>
      </c>
    </row>
    <row r="22" spans="1:5" x14ac:dyDescent="0.25">
      <c r="A22" s="49"/>
      <c r="B22" s="50"/>
      <c r="C22" s="51"/>
      <c r="D22" s="54"/>
      <c r="E22" s="55">
        <f t="shared" si="1"/>
        <v>0</v>
      </c>
    </row>
    <row r="23" spans="1:5" x14ac:dyDescent="0.25">
      <c r="A23" s="8" t="s">
        <v>8</v>
      </c>
      <c r="B23" s="56"/>
      <c r="C23" s="57"/>
      <c r="D23" s="9"/>
      <c r="E23" s="27">
        <f>SUM(E8:E22)</f>
        <v>1250431.0319039999</v>
      </c>
    </row>
    <row r="24" spans="1:5" x14ac:dyDescent="0.25">
      <c r="A24" s="58" t="s">
        <v>9</v>
      </c>
      <c r="B24" s="59"/>
      <c r="C24" s="59"/>
      <c r="D24" s="26"/>
      <c r="E24" s="28">
        <f>E23*30%</f>
        <v>375129.30957119993</v>
      </c>
    </row>
    <row r="25" spans="1:5" x14ac:dyDescent="0.25">
      <c r="A25" s="60"/>
      <c r="B25" s="61"/>
      <c r="C25" s="62"/>
      <c r="D25" s="7"/>
      <c r="E25" s="7"/>
    </row>
    <row r="26" spans="1:5" x14ac:dyDescent="0.25">
      <c r="A26" s="48"/>
      <c r="B26" s="48"/>
      <c r="C26" s="39"/>
      <c r="D26" s="39" t="s">
        <v>10</v>
      </c>
      <c r="E26" s="40">
        <f>E23+E24</f>
        <v>1625560.3414751999</v>
      </c>
    </row>
    <row r="27" spans="1:5" x14ac:dyDescent="0.25">
      <c r="A27" s="48"/>
      <c r="B27" s="48"/>
      <c r="C27" s="48"/>
      <c r="D27" s="48"/>
      <c r="E27" s="48"/>
    </row>
    <row r="28" spans="1:5" x14ac:dyDescent="0.25">
      <c r="A28" s="14" t="s">
        <v>11</v>
      </c>
      <c r="B28" s="48"/>
      <c r="C28" s="48"/>
      <c r="D28" s="48"/>
    </row>
    <row r="29" spans="1:5" x14ac:dyDescent="0.25">
      <c r="A29" s="16" t="s">
        <v>12</v>
      </c>
      <c r="B29" s="16" t="s">
        <v>13</v>
      </c>
      <c r="C29" s="16" t="s">
        <v>14</v>
      </c>
      <c r="D29" s="63"/>
    </row>
    <row r="30" spans="1:5" x14ac:dyDescent="0.25">
      <c r="A30" s="33"/>
      <c r="B30" s="33"/>
      <c r="C30" s="33"/>
      <c r="D30" s="1"/>
    </row>
    <row r="31" spans="1:5" x14ac:dyDescent="0.25">
      <c r="A31" s="34" t="s">
        <v>15</v>
      </c>
      <c r="B31" s="35">
        <v>0.85</v>
      </c>
      <c r="C31" s="37">
        <f>E26*B31</f>
        <v>1381726.2902539198</v>
      </c>
      <c r="D31" s="64"/>
      <c r="E31" s="48"/>
    </row>
    <row r="32" spans="1:5" x14ac:dyDescent="0.25">
      <c r="A32" s="48"/>
      <c r="B32" s="63"/>
      <c r="C32" s="48"/>
      <c r="D32" s="48"/>
      <c r="E32" s="48"/>
    </row>
    <row r="33" spans="1:5" x14ac:dyDescent="0.25">
      <c r="A33" s="65"/>
      <c r="B33" s="48"/>
      <c r="C33" s="66"/>
      <c r="D33" s="41" t="s">
        <v>16</v>
      </c>
      <c r="E33" s="42">
        <f>E26+C31</f>
        <v>3007286.6317291195</v>
      </c>
    </row>
    <row r="34" spans="1:5" x14ac:dyDescent="0.25">
      <c r="A34" s="14" t="s">
        <v>17</v>
      </c>
      <c r="B34" s="48"/>
      <c r="C34" s="48"/>
      <c r="D34" s="48"/>
      <c r="E34" s="48"/>
    </row>
    <row r="35" spans="1:5" ht="25.5" x14ac:dyDescent="0.25">
      <c r="A35" s="18" t="s">
        <v>18</v>
      </c>
      <c r="B35" s="18" t="s">
        <v>19</v>
      </c>
      <c r="C35" s="18" t="s">
        <v>20</v>
      </c>
      <c r="D35" s="36" t="s">
        <v>21</v>
      </c>
      <c r="E35" s="48"/>
    </row>
    <row r="36" spans="1:5" x14ac:dyDescent="0.25">
      <c r="A36" s="67" t="s">
        <v>78</v>
      </c>
      <c r="B36" s="68">
        <v>8</v>
      </c>
      <c r="C36" s="69">
        <f>1400*1.2</f>
        <v>1680</v>
      </c>
      <c r="D36" s="70">
        <f>C36*B36</f>
        <v>13440</v>
      </c>
      <c r="E36" s="48"/>
    </row>
    <row r="37" spans="1:5" x14ac:dyDescent="0.25">
      <c r="A37" s="67" t="s">
        <v>79</v>
      </c>
      <c r="B37" s="68">
        <v>9</v>
      </c>
      <c r="C37" s="69">
        <f>1000*1.2</f>
        <v>1200</v>
      </c>
      <c r="D37" s="70">
        <f t="shared" ref="D37:D53" si="3">C37*B37</f>
        <v>10800</v>
      </c>
      <c r="E37" s="48"/>
    </row>
    <row r="38" spans="1:5" x14ac:dyDescent="0.25">
      <c r="A38" s="67" t="s">
        <v>80</v>
      </c>
      <c r="B38" s="68">
        <v>50</v>
      </c>
      <c r="C38" s="69">
        <v>600</v>
      </c>
      <c r="D38" s="70">
        <f t="shared" si="3"/>
        <v>30000</v>
      </c>
      <c r="E38" s="48"/>
    </row>
    <row r="39" spans="1:5" x14ac:dyDescent="0.25">
      <c r="A39" s="67" t="s">
        <v>81</v>
      </c>
      <c r="B39" s="68">
        <v>5</v>
      </c>
      <c r="C39" s="69">
        <f>110*1.2</f>
        <v>132</v>
      </c>
      <c r="D39" s="70">
        <f t="shared" si="3"/>
        <v>660</v>
      </c>
      <c r="E39" s="48"/>
    </row>
    <row r="40" spans="1:5" x14ac:dyDescent="0.25">
      <c r="A40" s="67" t="s">
        <v>82</v>
      </c>
      <c r="B40" s="68">
        <v>3</v>
      </c>
      <c r="C40" s="69">
        <f>110*1.2</f>
        <v>132</v>
      </c>
      <c r="D40" s="70">
        <f t="shared" si="3"/>
        <v>396</v>
      </c>
      <c r="E40" s="48"/>
    </row>
    <row r="41" spans="1:5" x14ac:dyDescent="0.25">
      <c r="A41" s="67" t="s">
        <v>83</v>
      </c>
      <c r="B41" s="68">
        <v>14</v>
      </c>
      <c r="C41" s="69">
        <f>250*1.2</f>
        <v>300</v>
      </c>
      <c r="D41" s="70">
        <f t="shared" si="3"/>
        <v>4200</v>
      </c>
      <c r="E41" s="48"/>
    </row>
    <row r="42" spans="1:5" x14ac:dyDescent="0.25">
      <c r="A42" s="67" t="s">
        <v>84</v>
      </c>
      <c r="B42" s="68" t="s">
        <v>85</v>
      </c>
      <c r="C42" s="69">
        <f>6*(700)*3</f>
        <v>12600</v>
      </c>
      <c r="D42" s="70">
        <f>C42</f>
        <v>12600</v>
      </c>
      <c r="E42" s="48"/>
    </row>
    <row r="43" spans="1:5" x14ac:dyDescent="0.25">
      <c r="A43" s="67" t="s">
        <v>86</v>
      </c>
      <c r="B43" s="68">
        <v>20</v>
      </c>
      <c r="C43" s="69">
        <v>600</v>
      </c>
      <c r="D43" s="70">
        <f t="shared" si="3"/>
        <v>12000</v>
      </c>
      <c r="E43" s="48"/>
    </row>
    <row r="44" spans="1:5" x14ac:dyDescent="0.25">
      <c r="A44" s="67" t="s">
        <v>87</v>
      </c>
      <c r="B44" s="68">
        <v>90</v>
      </c>
      <c r="C44" s="69">
        <f>128.4*1.2</f>
        <v>154.08000000000001</v>
      </c>
      <c r="D44" s="70">
        <f t="shared" si="3"/>
        <v>13867.2</v>
      </c>
      <c r="E44" s="48"/>
    </row>
    <row r="45" spans="1:5" x14ac:dyDescent="0.25">
      <c r="A45" s="67" t="s">
        <v>88</v>
      </c>
      <c r="B45" s="68">
        <v>4</v>
      </c>
      <c r="C45" s="69">
        <f>7000*1.2</f>
        <v>8400</v>
      </c>
      <c r="D45" s="70">
        <f t="shared" si="3"/>
        <v>33600</v>
      </c>
      <c r="E45" s="48"/>
    </row>
    <row r="46" spans="1:5" x14ac:dyDescent="0.25">
      <c r="A46" s="67" t="s">
        <v>89</v>
      </c>
      <c r="B46" s="68">
        <v>20</v>
      </c>
      <c r="C46" s="69">
        <f>2290*2</f>
        <v>4580</v>
      </c>
      <c r="D46" s="70">
        <f t="shared" si="3"/>
        <v>91600</v>
      </c>
      <c r="E46" s="48"/>
    </row>
    <row r="47" spans="1:5" x14ac:dyDescent="0.25">
      <c r="A47" s="67" t="s">
        <v>90</v>
      </c>
      <c r="B47" s="68" t="s">
        <v>91</v>
      </c>
      <c r="C47" s="69">
        <f>((3700+5200)+260)*3</f>
        <v>27480</v>
      </c>
      <c r="D47" s="70">
        <f>C47</f>
        <v>27480</v>
      </c>
      <c r="E47" s="48"/>
    </row>
    <row r="48" spans="1:5" x14ac:dyDescent="0.25">
      <c r="A48" s="67" t="s">
        <v>92</v>
      </c>
      <c r="B48" s="68">
        <v>3</v>
      </c>
      <c r="C48" s="69">
        <v>500</v>
      </c>
      <c r="D48" s="70">
        <f t="shared" si="3"/>
        <v>1500</v>
      </c>
      <c r="E48" s="48"/>
    </row>
    <row r="49" spans="1:5" x14ac:dyDescent="0.25">
      <c r="A49" s="67" t="s">
        <v>93</v>
      </c>
      <c r="B49" s="68">
        <v>3</v>
      </c>
      <c r="C49" s="69">
        <v>380</v>
      </c>
      <c r="D49" s="70">
        <f t="shared" si="3"/>
        <v>1140</v>
      </c>
      <c r="E49" s="48"/>
    </row>
    <row r="50" spans="1:5" x14ac:dyDescent="0.25">
      <c r="A50" s="67" t="s">
        <v>94</v>
      </c>
      <c r="B50" s="68">
        <v>10</v>
      </c>
      <c r="C50" s="69">
        <v>480</v>
      </c>
      <c r="D50" s="70">
        <f t="shared" si="3"/>
        <v>4800</v>
      </c>
      <c r="E50" s="48"/>
    </row>
    <row r="51" spans="1:5" x14ac:dyDescent="0.25">
      <c r="A51" s="67" t="s">
        <v>95</v>
      </c>
      <c r="B51" s="68">
        <v>2</v>
      </c>
      <c r="C51" s="69">
        <v>480</v>
      </c>
      <c r="D51" s="70">
        <f t="shared" si="3"/>
        <v>960</v>
      </c>
      <c r="E51" s="48"/>
    </row>
    <row r="52" spans="1:5" x14ac:dyDescent="0.25">
      <c r="A52" s="67" t="s">
        <v>96</v>
      </c>
      <c r="B52" s="68">
        <v>4</v>
      </c>
      <c r="C52" s="69">
        <v>1050</v>
      </c>
      <c r="D52" s="70">
        <f t="shared" si="3"/>
        <v>4200</v>
      </c>
      <c r="E52" s="48"/>
    </row>
    <row r="53" spans="1:5" x14ac:dyDescent="0.25">
      <c r="A53" s="167" t="s">
        <v>137</v>
      </c>
      <c r="B53" s="168">
        <v>1</v>
      </c>
      <c r="C53" s="169">
        <v>60000</v>
      </c>
      <c r="D53" s="70">
        <f t="shared" si="3"/>
        <v>60000</v>
      </c>
    </row>
    <row r="54" spans="1:5" x14ac:dyDescent="0.25">
      <c r="A54" s="71"/>
      <c r="B54" s="48"/>
      <c r="C54" s="21" t="s">
        <v>22</v>
      </c>
      <c r="D54" s="29">
        <f>SUM(D36:D53)</f>
        <v>323243.2</v>
      </c>
    </row>
    <row r="55" spans="1:5" x14ac:dyDescent="0.25">
      <c r="A55" s="14" t="s">
        <v>23</v>
      </c>
      <c r="B55" s="48"/>
      <c r="C55" s="48"/>
      <c r="D55" s="48"/>
    </row>
    <row r="56" spans="1:5" ht="25.5" x14ac:dyDescent="0.25">
      <c r="A56" s="16" t="s">
        <v>18</v>
      </c>
      <c r="B56" s="17" t="s">
        <v>19</v>
      </c>
      <c r="C56" s="16" t="s">
        <v>20</v>
      </c>
      <c r="D56" s="36" t="s">
        <v>21</v>
      </c>
    </row>
    <row r="57" spans="1:5" x14ac:dyDescent="0.25">
      <c r="A57" s="72" t="s">
        <v>24</v>
      </c>
      <c r="B57" s="73" t="s">
        <v>85</v>
      </c>
      <c r="C57" s="69">
        <f>2800*1.2*7</f>
        <v>23520</v>
      </c>
      <c r="D57" s="74">
        <f>C57</f>
        <v>23520</v>
      </c>
    </row>
    <row r="58" spans="1:5" x14ac:dyDescent="0.25">
      <c r="A58" s="75" t="s">
        <v>25</v>
      </c>
      <c r="B58" s="68" t="s">
        <v>85</v>
      </c>
      <c r="C58" s="69">
        <f>200*200</f>
        <v>40000</v>
      </c>
      <c r="D58" s="76">
        <f>C58</f>
        <v>40000</v>
      </c>
    </row>
    <row r="59" spans="1:5" x14ac:dyDescent="0.25">
      <c r="A59" s="77" t="s">
        <v>97</v>
      </c>
      <c r="B59" s="78" t="s">
        <v>85</v>
      </c>
      <c r="C59" s="69">
        <f>4000*1.2*7</f>
        <v>33600</v>
      </c>
      <c r="D59" s="70">
        <f>C59</f>
        <v>33600</v>
      </c>
    </row>
    <row r="60" spans="1:5" x14ac:dyDescent="0.25">
      <c r="A60" s="77"/>
      <c r="B60" s="68"/>
      <c r="C60" s="69"/>
      <c r="D60" s="76">
        <v>0</v>
      </c>
    </row>
    <row r="61" spans="1:5" x14ac:dyDescent="0.25">
      <c r="A61" s="71"/>
      <c r="B61" s="48"/>
      <c r="C61" s="21" t="s">
        <v>26</v>
      </c>
      <c r="D61" s="29">
        <f>SUM(D57:D60)</f>
        <v>97120</v>
      </c>
    </row>
    <row r="62" spans="1:5" x14ac:dyDescent="0.25">
      <c r="A62" s="14" t="s">
        <v>27</v>
      </c>
      <c r="B62" s="48"/>
      <c r="C62" s="48"/>
      <c r="D62" s="48"/>
    </row>
    <row r="63" spans="1:5" ht="25.5" x14ac:dyDescent="0.25">
      <c r="A63" s="18" t="s">
        <v>18</v>
      </c>
      <c r="B63" s="18" t="s">
        <v>28</v>
      </c>
      <c r="C63" s="18" t="s">
        <v>29</v>
      </c>
      <c r="D63" s="36" t="s">
        <v>21</v>
      </c>
    </row>
    <row r="64" spans="1:5" x14ac:dyDescent="0.25">
      <c r="A64" s="79" t="s">
        <v>30</v>
      </c>
      <c r="B64" s="80">
        <v>288</v>
      </c>
      <c r="C64" s="69">
        <v>500</v>
      </c>
      <c r="D64" s="81">
        <f>C64*B64+(750*2)</f>
        <v>145500</v>
      </c>
      <c r="E64" s="1"/>
    </row>
    <row r="65" spans="1:8" x14ac:dyDescent="0.25">
      <c r="A65" s="79" t="s">
        <v>98</v>
      </c>
      <c r="B65" s="80">
        <v>288</v>
      </c>
      <c r="C65" s="69">
        <v>500</v>
      </c>
      <c r="D65" s="81">
        <f t="shared" ref="D65:D76" si="4">C65*B65</f>
        <v>144000</v>
      </c>
      <c r="E65" s="1"/>
    </row>
    <row r="66" spans="1:8" x14ac:dyDescent="0.25">
      <c r="A66" s="79" t="s">
        <v>99</v>
      </c>
      <c r="B66" s="80">
        <v>288</v>
      </c>
      <c r="C66" s="69">
        <v>60</v>
      </c>
      <c r="D66" s="81">
        <f t="shared" si="4"/>
        <v>17280</v>
      </c>
      <c r="E66" s="1"/>
    </row>
    <row r="67" spans="1:8" x14ac:dyDescent="0.25">
      <c r="A67" s="79" t="s">
        <v>100</v>
      </c>
      <c r="B67" s="80" t="s">
        <v>85</v>
      </c>
      <c r="C67" s="69">
        <f>(288*2.5*100)</f>
        <v>72000</v>
      </c>
      <c r="D67" s="81">
        <f t="shared" ref="D67" si="5">C67</f>
        <v>72000</v>
      </c>
      <c r="E67" s="1"/>
    </row>
    <row r="68" spans="1:8" x14ac:dyDescent="0.25">
      <c r="A68" s="79" t="s">
        <v>101</v>
      </c>
      <c r="B68" s="80" t="s">
        <v>91</v>
      </c>
      <c r="C68" s="69">
        <f>(0.8*288*470)+(0.2*288*235)</f>
        <v>121824</v>
      </c>
      <c r="D68" s="81">
        <f>C68</f>
        <v>121824</v>
      </c>
      <c r="E68" s="1"/>
    </row>
    <row r="69" spans="1:8" x14ac:dyDescent="0.25">
      <c r="A69" s="79" t="s">
        <v>102</v>
      </c>
      <c r="B69" s="80">
        <v>288</v>
      </c>
      <c r="C69" s="69">
        <f>452*1.04</f>
        <v>470.08000000000004</v>
      </c>
      <c r="D69" s="81">
        <f t="shared" si="4"/>
        <v>135383.04000000001</v>
      </c>
      <c r="E69" s="1"/>
    </row>
    <row r="70" spans="1:8" x14ac:dyDescent="0.25">
      <c r="A70" s="79" t="s">
        <v>103</v>
      </c>
      <c r="B70" s="80" t="s">
        <v>85</v>
      </c>
      <c r="C70" s="69">
        <f>288*2.5*20*6</f>
        <v>86400</v>
      </c>
      <c r="D70" s="81">
        <f t="shared" ref="D70" si="6">C70</f>
        <v>86400</v>
      </c>
      <c r="E70" s="1"/>
    </row>
    <row r="71" spans="1:8" x14ac:dyDescent="0.25">
      <c r="A71" s="79" t="s">
        <v>104</v>
      </c>
      <c r="B71" s="80" t="s">
        <v>85</v>
      </c>
      <c r="C71" s="69">
        <v>70000</v>
      </c>
      <c r="D71" s="81">
        <f>C71</f>
        <v>70000</v>
      </c>
      <c r="E71" s="1"/>
    </row>
    <row r="72" spans="1:8" x14ac:dyDescent="0.25">
      <c r="A72" s="79" t="s">
        <v>105</v>
      </c>
      <c r="B72" s="80" t="s">
        <v>85</v>
      </c>
      <c r="C72" s="69">
        <v>120000</v>
      </c>
      <c r="D72" s="81">
        <f>C72</f>
        <v>120000</v>
      </c>
      <c r="E72" s="82"/>
      <c r="F72" s="1"/>
      <c r="H72" s="83"/>
    </row>
    <row r="73" spans="1:8" x14ac:dyDescent="0.25">
      <c r="A73" s="84" t="s">
        <v>106</v>
      </c>
      <c r="B73" s="80" t="s">
        <v>85</v>
      </c>
      <c r="C73" s="69">
        <v>215237.52960000001</v>
      </c>
      <c r="D73" s="81">
        <f>C73</f>
        <v>215237.52960000001</v>
      </c>
      <c r="E73" s="82"/>
      <c r="H73" s="83"/>
    </row>
    <row r="74" spans="1:8" x14ac:dyDescent="0.25">
      <c r="A74" s="84" t="s">
        <v>107</v>
      </c>
      <c r="B74" s="80" t="s">
        <v>85</v>
      </c>
      <c r="C74" s="69">
        <v>417995.43028363638</v>
      </c>
      <c r="D74" s="81">
        <f>C74</f>
        <v>417995.43028363638</v>
      </c>
      <c r="E74" s="82"/>
    </row>
    <row r="75" spans="1:8" x14ac:dyDescent="0.25">
      <c r="A75" s="84" t="s">
        <v>138</v>
      </c>
      <c r="B75" s="80" t="s">
        <v>85</v>
      </c>
      <c r="C75" s="69">
        <v>156000</v>
      </c>
      <c r="D75" s="81">
        <f>C75</f>
        <v>156000</v>
      </c>
      <c r="E75" s="1"/>
    </row>
    <row r="76" spans="1:8" x14ac:dyDescent="0.25">
      <c r="A76" s="170" t="s">
        <v>139</v>
      </c>
      <c r="B76" s="80" t="s">
        <v>85</v>
      </c>
      <c r="C76" s="169">
        <v>235000</v>
      </c>
      <c r="D76" s="171">
        <f>C76</f>
        <v>235000</v>
      </c>
      <c r="E76" s="1"/>
    </row>
    <row r="77" spans="1:8" x14ac:dyDescent="0.25">
      <c r="A77" s="1"/>
      <c r="B77" s="24" t="s">
        <v>31</v>
      </c>
      <c r="C77" s="85"/>
      <c r="D77" s="29">
        <f>SUM(D64:D76)</f>
        <v>1936619.9998836364</v>
      </c>
      <c r="E77" s="1"/>
    </row>
    <row r="78" spans="1:8" x14ac:dyDescent="0.25">
      <c r="A78" s="1"/>
      <c r="B78" s="1"/>
      <c r="C78" s="1"/>
      <c r="D78" s="1"/>
      <c r="E78" s="1"/>
    </row>
    <row r="79" spans="1:8" x14ac:dyDescent="0.25">
      <c r="A79" s="1"/>
      <c r="B79" s="44" t="s">
        <v>32</v>
      </c>
      <c r="C79" s="45"/>
      <c r="D79" s="46"/>
      <c r="E79" s="47">
        <f>E33+D54+D61+D77</f>
        <v>5364269.8316127565</v>
      </c>
    </row>
    <row r="80" spans="1:8" x14ac:dyDescent="0.25">
      <c r="A80" s="22" t="s">
        <v>33</v>
      </c>
      <c r="B80" s="23"/>
      <c r="C80" s="23"/>
      <c r="D80" s="23"/>
      <c r="E80" s="23"/>
    </row>
    <row r="81" spans="1:5" x14ac:dyDescent="0.25">
      <c r="A81" s="48"/>
      <c r="B81" s="48"/>
      <c r="C81" s="48"/>
      <c r="D81" s="48"/>
      <c r="E81" s="48"/>
    </row>
    <row r="82" spans="1:5" ht="38.25" x14ac:dyDescent="0.25">
      <c r="A82" s="18" t="s">
        <v>18</v>
      </c>
      <c r="B82" s="18" t="s">
        <v>34</v>
      </c>
      <c r="C82" s="18" t="s">
        <v>35</v>
      </c>
      <c r="D82" s="36" t="s">
        <v>21</v>
      </c>
      <c r="E82" s="48"/>
    </row>
    <row r="83" spans="1:5" x14ac:dyDescent="0.25">
      <c r="A83" s="79" t="s">
        <v>108</v>
      </c>
      <c r="B83" s="86">
        <v>0.08</v>
      </c>
      <c r="C83" s="87">
        <f>B83*E79</f>
        <v>429141.58652902051</v>
      </c>
      <c r="D83" s="87">
        <f>C83</f>
        <v>429141.58652902051</v>
      </c>
      <c r="E83" s="48"/>
    </row>
    <row r="84" spans="1:5" x14ac:dyDescent="0.25">
      <c r="A84" s="79" t="s">
        <v>109</v>
      </c>
      <c r="B84" s="88">
        <v>0.01</v>
      </c>
      <c r="C84" s="89">
        <f>B84*E79</f>
        <v>53642.698316127564</v>
      </c>
      <c r="D84" s="89">
        <f>C84</f>
        <v>53642.698316127564</v>
      </c>
      <c r="E84" s="48"/>
    </row>
    <row r="85" spans="1:5" x14ac:dyDescent="0.25">
      <c r="A85" s="90" t="s">
        <v>110</v>
      </c>
      <c r="B85" s="91">
        <v>0.08</v>
      </c>
      <c r="C85" s="92">
        <f>B85*E79</f>
        <v>429141.58652902051</v>
      </c>
      <c r="D85" s="89">
        <f>C85</f>
        <v>429141.58652902051</v>
      </c>
      <c r="E85" s="48"/>
    </row>
    <row r="86" spans="1:5" x14ac:dyDescent="0.25">
      <c r="A86" s="93"/>
      <c r="B86" s="94"/>
      <c r="C86" s="95">
        <v>0</v>
      </c>
      <c r="D86" s="95">
        <v>0</v>
      </c>
      <c r="E86" s="48"/>
    </row>
    <row r="87" spans="1:5" x14ac:dyDescent="0.25">
      <c r="A87" s="5"/>
      <c r="B87" s="5"/>
      <c r="C87" s="25" t="s">
        <v>36</v>
      </c>
      <c r="D87" s="29">
        <f>SUM(D83:D86)</f>
        <v>911925.87137416867</v>
      </c>
      <c r="E87" s="48"/>
    </row>
    <row r="88" spans="1:5" x14ac:dyDescent="0.25">
      <c r="A88" s="48"/>
      <c r="B88" s="48"/>
      <c r="C88" s="48"/>
      <c r="D88" s="48"/>
      <c r="E88" s="48"/>
    </row>
    <row r="89" spans="1:5" ht="27.75" customHeight="1" x14ac:dyDescent="0.25">
      <c r="A89" s="22" t="s">
        <v>37</v>
      </c>
      <c r="B89" s="23"/>
      <c r="C89" s="23"/>
      <c r="D89" s="23"/>
      <c r="E89" s="23"/>
    </row>
    <row r="90" spans="1:5" x14ac:dyDescent="0.25">
      <c r="A90" s="48"/>
      <c r="B90" s="48"/>
      <c r="C90" s="48"/>
      <c r="D90" s="48"/>
      <c r="E90" s="48"/>
    </row>
    <row r="91" spans="1:5" x14ac:dyDescent="0.25">
      <c r="A91" s="18" t="s">
        <v>18</v>
      </c>
      <c r="B91" s="18" t="s">
        <v>38</v>
      </c>
      <c r="C91" s="18" t="s">
        <v>35</v>
      </c>
      <c r="D91" s="36" t="s">
        <v>21</v>
      </c>
      <c r="E91" s="48"/>
    </row>
    <row r="92" spans="1:5" x14ac:dyDescent="0.25">
      <c r="A92" s="96" t="s">
        <v>111</v>
      </c>
      <c r="B92" s="86">
        <v>7.6799999999999993E-2</v>
      </c>
      <c r="C92" s="87">
        <f>B92*E79</f>
        <v>411975.92306785967</v>
      </c>
      <c r="D92" s="87">
        <f>C92</f>
        <v>411975.92306785967</v>
      </c>
      <c r="E92" s="48"/>
    </row>
    <row r="93" spans="1:5" x14ac:dyDescent="0.25">
      <c r="A93" s="79"/>
      <c r="B93" s="88"/>
      <c r="C93" s="89">
        <v>0</v>
      </c>
      <c r="D93" s="89">
        <v>0</v>
      </c>
      <c r="E93" s="48"/>
    </row>
    <row r="94" spans="1:5" x14ac:dyDescent="0.25">
      <c r="A94" s="97"/>
      <c r="B94" s="98"/>
      <c r="C94" s="99">
        <v>0</v>
      </c>
      <c r="D94" s="99">
        <v>0</v>
      </c>
      <c r="E94" s="48"/>
    </row>
    <row r="95" spans="1:5" x14ac:dyDescent="0.25">
      <c r="A95" s="5"/>
      <c r="B95" s="24" t="s">
        <v>39</v>
      </c>
      <c r="C95" s="85"/>
      <c r="D95" s="29">
        <f>SUM(D92:D94)</f>
        <v>411975.92306785967</v>
      </c>
      <c r="E95" s="48"/>
    </row>
    <row r="96" spans="1:5" x14ac:dyDescent="0.25">
      <c r="A96" s="48"/>
      <c r="B96" s="48"/>
      <c r="C96" s="48"/>
      <c r="D96" s="48"/>
      <c r="E96" s="48"/>
    </row>
    <row r="97" spans="1:5" x14ac:dyDescent="0.25">
      <c r="A97" s="22" t="s">
        <v>40</v>
      </c>
      <c r="B97" s="23"/>
      <c r="C97" s="23"/>
      <c r="D97" s="23"/>
      <c r="E97" s="23"/>
    </row>
    <row r="98" spans="1:5" x14ac:dyDescent="0.25">
      <c r="A98" s="48"/>
      <c r="B98" s="48"/>
      <c r="C98" s="48"/>
      <c r="D98" s="48"/>
      <c r="E98" s="48"/>
    </row>
    <row r="99" spans="1:5" x14ac:dyDescent="0.25">
      <c r="A99" s="2" t="s">
        <v>41</v>
      </c>
      <c r="B99" s="3"/>
      <c r="C99" s="3"/>
      <c r="D99" s="4"/>
      <c r="E99" s="30">
        <f>E79+D87+D95</f>
        <v>6688171.6260547843</v>
      </c>
    </row>
    <row r="100" spans="1:5" x14ac:dyDescent="0.25">
      <c r="A100" s="48"/>
      <c r="B100" s="48"/>
      <c r="C100" s="48"/>
      <c r="D100" s="48"/>
      <c r="E100" s="48"/>
    </row>
    <row r="101" spans="1:5" x14ac:dyDescent="0.25">
      <c r="A101" s="22" t="s">
        <v>42</v>
      </c>
      <c r="B101" s="23"/>
      <c r="C101" s="23"/>
      <c r="D101" s="23"/>
      <c r="E101" s="38"/>
    </row>
    <row r="102" spans="1:5" x14ac:dyDescent="0.25">
      <c r="A102" s="48"/>
      <c r="B102" s="48"/>
      <c r="C102" s="48"/>
      <c r="D102" s="48"/>
      <c r="E102" s="48"/>
    </row>
    <row r="103" spans="1:5" x14ac:dyDescent="0.25">
      <c r="A103" s="18" t="s">
        <v>18</v>
      </c>
      <c r="B103" s="18" t="s">
        <v>38</v>
      </c>
      <c r="C103" s="48"/>
      <c r="D103" s="48"/>
      <c r="E103" s="48"/>
    </row>
    <row r="104" spans="1:5" x14ac:dyDescent="0.25">
      <c r="A104" s="100" t="s">
        <v>43</v>
      </c>
      <c r="B104" s="86">
        <v>0.05</v>
      </c>
      <c r="C104" s="48"/>
      <c r="D104" s="48"/>
      <c r="E104" s="48"/>
    </row>
    <row r="105" spans="1:5" x14ac:dyDescent="0.25">
      <c r="A105" s="77" t="s">
        <v>44</v>
      </c>
      <c r="B105" s="88">
        <v>6.4999999999999997E-3</v>
      </c>
      <c r="C105" s="48"/>
      <c r="D105" s="48"/>
      <c r="E105" s="101"/>
    </row>
    <row r="106" spans="1:5" x14ac:dyDescent="0.25">
      <c r="A106" s="102" t="s">
        <v>45</v>
      </c>
      <c r="B106" s="98">
        <v>0.03</v>
      </c>
      <c r="C106" s="48"/>
      <c r="D106" s="48"/>
      <c r="E106" s="48"/>
    </row>
    <row r="107" spans="1:5" x14ac:dyDescent="0.25">
      <c r="A107" s="48"/>
      <c r="B107" s="103"/>
      <c r="C107" s="48"/>
      <c r="D107" s="48"/>
      <c r="E107" s="48"/>
    </row>
    <row r="108" spans="1:5" x14ac:dyDescent="0.25">
      <c r="A108" s="6" t="s">
        <v>46</v>
      </c>
      <c r="B108" s="31">
        <f>SUM(B104:B106)</f>
        <v>8.6499999999999994E-2</v>
      </c>
      <c r="C108" s="48"/>
      <c r="D108" s="48"/>
      <c r="E108" s="104"/>
    </row>
    <row r="109" spans="1:5" x14ac:dyDescent="0.25">
      <c r="A109" s="48"/>
      <c r="B109" s="48"/>
      <c r="C109" s="48"/>
      <c r="D109" s="48"/>
      <c r="E109" s="48"/>
    </row>
    <row r="110" spans="1:5" x14ac:dyDescent="0.25">
      <c r="A110" s="22" t="s">
        <v>47</v>
      </c>
      <c r="B110" s="23"/>
      <c r="C110" s="23"/>
      <c r="D110" s="23"/>
      <c r="E110" s="105">
        <f>E99*1.0865</f>
        <v>7266698.4717085231</v>
      </c>
    </row>
    <row r="111" spans="1:5" x14ac:dyDescent="0.25">
      <c r="A111" s="61"/>
      <c r="B111" s="48"/>
      <c r="C111" s="48"/>
      <c r="D111" s="48"/>
      <c r="E111" s="48"/>
    </row>
    <row r="112" spans="1:5" ht="15.75" x14ac:dyDescent="0.25">
      <c r="A112" s="19" t="s">
        <v>65</v>
      </c>
      <c r="B112" s="106"/>
      <c r="C112" s="106"/>
      <c r="D112" s="107"/>
      <c r="E112" s="32">
        <f>E110</f>
        <v>7266698.4717085231</v>
      </c>
    </row>
    <row r="113" spans="1:5" x14ac:dyDescent="0.25">
      <c r="A113" s="43" t="s">
        <v>48</v>
      </c>
      <c r="B113" s="48"/>
      <c r="C113" s="48"/>
      <c r="D113" s="48"/>
      <c r="E113" s="48"/>
    </row>
    <row r="114" spans="1:5" x14ac:dyDescent="0.25">
      <c r="A114" s="10" t="s">
        <v>49</v>
      </c>
      <c r="B114" s="1"/>
      <c r="C114" s="1"/>
      <c r="D114" s="1"/>
      <c r="E114" s="1"/>
    </row>
    <row r="115" spans="1:5" x14ac:dyDescent="0.25">
      <c r="A115" s="11" t="s">
        <v>50</v>
      </c>
      <c r="B115" s="48"/>
      <c r="C115" s="48"/>
      <c r="D115" s="48"/>
      <c r="E115" s="48"/>
    </row>
    <row r="116" spans="1:5" x14ac:dyDescent="0.25">
      <c r="A116" s="11" t="s">
        <v>51</v>
      </c>
      <c r="B116" s="48"/>
      <c r="C116" s="48"/>
      <c r="D116" s="48"/>
      <c r="E116" s="48"/>
    </row>
    <row r="117" spans="1:5" x14ac:dyDescent="0.25">
      <c r="A117" s="11" t="s">
        <v>52</v>
      </c>
    </row>
    <row r="118" spans="1:5" x14ac:dyDescent="0.25">
      <c r="A118" s="11" t="s">
        <v>53</v>
      </c>
    </row>
    <row r="119" spans="1:5" x14ac:dyDescent="0.25">
      <c r="A119" s="11" t="s">
        <v>54</v>
      </c>
    </row>
    <row r="120" spans="1:5" x14ac:dyDescent="0.25">
      <c r="A120" s="11" t="s">
        <v>55</v>
      </c>
    </row>
    <row r="121" spans="1:5" x14ac:dyDescent="0.25">
      <c r="A121" s="10" t="s">
        <v>56</v>
      </c>
    </row>
    <row r="122" spans="1:5" x14ac:dyDescent="0.25">
      <c r="A122" s="11" t="s">
        <v>57</v>
      </c>
    </row>
    <row r="123" spans="1:5" x14ac:dyDescent="0.25">
      <c r="A123" s="11" t="s">
        <v>58</v>
      </c>
    </row>
    <row r="124" spans="1:5" x14ac:dyDescent="0.25">
      <c r="A124" s="13">
        <v>2</v>
      </c>
    </row>
    <row r="125" spans="1:5" x14ac:dyDescent="0.25">
      <c r="A125" s="11" t="s">
        <v>59</v>
      </c>
    </row>
    <row r="126" spans="1:5" x14ac:dyDescent="0.25">
      <c r="A126" s="13">
        <v>3</v>
      </c>
    </row>
    <row r="127" spans="1:5" x14ac:dyDescent="0.25">
      <c r="A127" s="11" t="s">
        <v>60</v>
      </c>
    </row>
    <row r="128" spans="1:5" x14ac:dyDescent="0.25">
      <c r="A128" s="13">
        <v>5</v>
      </c>
    </row>
    <row r="129" spans="1:1" x14ac:dyDescent="0.25">
      <c r="A129" s="11" t="s">
        <v>61</v>
      </c>
    </row>
    <row r="130" spans="1:1" x14ac:dyDescent="0.25">
      <c r="A130" s="11"/>
    </row>
    <row r="131" spans="1:1" x14ac:dyDescent="0.25">
      <c r="A131" s="12" t="s">
        <v>62</v>
      </c>
    </row>
    <row r="132" spans="1:1" x14ac:dyDescent="0.25">
      <c r="A132" s="48"/>
    </row>
    <row r="133" spans="1:1" x14ac:dyDescent="0.25">
      <c r="A133" s="15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63"/>
  <sheetViews>
    <sheetView topLeftCell="A41" workbookViewId="0">
      <selection activeCell="G63" sqref="G63"/>
    </sheetView>
  </sheetViews>
  <sheetFormatPr defaultColWidth="7.85546875" defaultRowHeight="15" x14ac:dyDescent="0.2"/>
  <cols>
    <col min="1" max="1" width="26.42578125" style="108" customWidth="1"/>
    <col min="2" max="2" width="12.28515625" style="108" customWidth="1"/>
    <col min="3" max="3" width="14.85546875" style="108" customWidth="1"/>
    <col min="4" max="4" width="14.42578125" style="108" customWidth="1"/>
    <col min="5" max="6" width="15.140625" style="108" customWidth="1"/>
    <col min="7" max="7" width="17.85546875" style="108" bestFit="1" customWidth="1"/>
    <col min="8" max="8" width="13.7109375" style="108" customWidth="1"/>
    <col min="9" max="9" width="16.28515625" style="108" customWidth="1"/>
    <col min="10" max="10" width="11.85546875" style="108" customWidth="1"/>
    <col min="11" max="11" width="7.85546875" style="108"/>
    <col min="12" max="12" width="16.7109375" style="108" bestFit="1" customWidth="1"/>
    <col min="13" max="254" width="7.85546875" style="108"/>
    <col min="255" max="255" width="26.42578125" style="108" customWidth="1"/>
    <col min="256" max="256" width="12.28515625" style="108" customWidth="1"/>
    <col min="257" max="257" width="14.85546875" style="108" customWidth="1"/>
    <col min="258" max="258" width="14.42578125" style="108" customWidth="1"/>
    <col min="259" max="261" width="15.140625" style="108" customWidth="1"/>
    <col min="262" max="262" width="13.7109375" style="108" customWidth="1"/>
    <col min="263" max="263" width="16.28515625" style="108" customWidth="1"/>
    <col min="264" max="267" width="7.85546875" style="108"/>
    <col min="268" max="268" width="14.7109375" style="108" bestFit="1" customWidth="1"/>
    <col min="269" max="510" width="7.85546875" style="108"/>
    <col min="511" max="511" width="26.42578125" style="108" customWidth="1"/>
    <col min="512" max="512" width="12.28515625" style="108" customWidth="1"/>
    <col min="513" max="513" width="14.85546875" style="108" customWidth="1"/>
    <col min="514" max="514" width="14.42578125" style="108" customWidth="1"/>
    <col min="515" max="517" width="15.140625" style="108" customWidth="1"/>
    <col min="518" max="518" width="13.7109375" style="108" customWidth="1"/>
    <col min="519" max="519" width="16.28515625" style="108" customWidth="1"/>
    <col min="520" max="523" width="7.85546875" style="108"/>
    <col min="524" max="524" width="14.7109375" style="108" bestFit="1" customWidth="1"/>
    <col min="525" max="766" width="7.85546875" style="108"/>
    <col min="767" max="767" width="26.42578125" style="108" customWidth="1"/>
    <col min="768" max="768" width="12.28515625" style="108" customWidth="1"/>
    <col min="769" max="769" width="14.85546875" style="108" customWidth="1"/>
    <col min="770" max="770" width="14.42578125" style="108" customWidth="1"/>
    <col min="771" max="773" width="15.140625" style="108" customWidth="1"/>
    <col min="774" max="774" width="13.7109375" style="108" customWidth="1"/>
    <col min="775" max="775" width="16.28515625" style="108" customWidth="1"/>
    <col min="776" max="779" width="7.85546875" style="108"/>
    <col min="780" max="780" width="14.7109375" style="108" bestFit="1" customWidth="1"/>
    <col min="781" max="1022" width="7.85546875" style="108"/>
    <col min="1023" max="1023" width="26.42578125" style="108" customWidth="1"/>
    <col min="1024" max="1024" width="12.28515625" style="108" customWidth="1"/>
    <col min="1025" max="1025" width="14.85546875" style="108" customWidth="1"/>
    <col min="1026" max="1026" width="14.42578125" style="108" customWidth="1"/>
    <col min="1027" max="1029" width="15.140625" style="108" customWidth="1"/>
    <col min="1030" max="1030" width="13.7109375" style="108" customWidth="1"/>
    <col min="1031" max="1031" width="16.28515625" style="108" customWidth="1"/>
    <col min="1032" max="1035" width="7.85546875" style="108"/>
    <col min="1036" max="1036" width="14.7109375" style="108" bestFit="1" customWidth="1"/>
    <col min="1037" max="1278" width="7.85546875" style="108"/>
    <col min="1279" max="1279" width="26.42578125" style="108" customWidth="1"/>
    <col min="1280" max="1280" width="12.28515625" style="108" customWidth="1"/>
    <col min="1281" max="1281" width="14.85546875" style="108" customWidth="1"/>
    <col min="1282" max="1282" width="14.42578125" style="108" customWidth="1"/>
    <col min="1283" max="1285" width="15.140625" style="108" customWidth="1"/>
    <col min="1286" max="1286" width="13.7109375" style="108" customWidth="1"/>
    <col min="1287" max="1287" width="16.28515625" style="108" customWidth="1"/>
    <col min="1288" max="1291" width="7.85546875" style="108"/>
    <col min="1292" max="1292" width="14.7109375" style="108" bestFit="1" customWidth="1"/>
    <col min="1293" max="1534" width="7.85546875" style="108"/>
    <col min="1535" max="1535" width="26.42578125" style="108" customWidth="1"/>
    <col min="1536" max="1536" width="12.28515625" style="108" customWidth="1"/>
    <col min="1537" max="1537" width="14.85546875" style="108" customWidth="1"/>
    <col min="1538" max="1538" width="14.42578125" style="108" customWidth="1"/>
    <col min="1539" max="1541" width="15.140625" style="108" customWidth="1"/>
    <col min="1542" max="1542" width="13.7109375" style="108" customWidth="1"/>
    <col min="1543" max="1543" width="16.28515625" style="108" customWidth="1"/>
    <col min="1544" max="1547" width="7.85546875" style="108"/>
    <col min="1548" max="1548" width="14.7109375" style="108" bestFit="1" customWidth="1"/>
    <col min="1549" max="1790" width="7.85546875" style="108"/>
    <col min="1791" max="1791" width="26.42578125" style="108" customWidth="1"/>
    <col min="1792" max="1792" width="12.28515625" style="108" customWidth="1"/>
    <col min="1793" max="1793" width="14.85546875" style="108" customWidth="1"/>
    <col min="1794" max="1794" width="14.42578125" style="108" customWidth="1"/>
    <col min="1795" max="1797" width="15.140625" style="108" customWidth="1"/>
    <col min="1798" max="1798" width="13.7109375" style="108" customWidth="1"/>
    <col min="1799" max="1799" width="16.28515625" style="108" customWidth="1"/>
    <col min="1800" max="1803" width="7.85546875" style="108"/>
    <col min="1804" max="1804" width="14.7109375" style="108" bestFit="1" customWidth="1"/>
    <col min="1805" max="2046" width="7.85546875" style="108"/>
    <col min="2047" max="2047" width="26.42578125" style="108" customWidth="1"/>
    <col min="2048" max="2048" width="12.28515625" style="108" customWidth="1"/>
    <col min="2049" max="2049" width="14.85546875" style="108" customWidth="1"/>
    <col min="2050" max="2050" width="14.42578125" style="108" customWidth="1"/>
    <col min="2051" max="2053" width="15.140625" style="108" customWidth="1"/>
    <col min="2054" max="2054" width="13.7109375" style="108" customWidth="1"/>
    <col min="2055" max="2055" width="16.28515625" style="108" customWidth="1"/>
    <col min="2056" max="2059" width="7.85546875" style="108"/>
    <col min="2060" max="2060" width="14.7109375" style="108" bestFit="1" customWidth="1"/>
    <col min="2061" max="2302" width="7.85546875" style="108"/>
    <col min="2303" max="2303" width="26.42578125" style="108" customWidth="1"/>
    <col min="2304" max="2304" width="12.28515625" style="108" customWidth="1"/>
    <col min="2305" max="2305" width="14.85546875" style="108" customWidth="1"/>
    <col min="2306" max="2306" width="14.42578125" style="108" customWidth="1"/>
    <col min="2307" max="2309" width="15.140625" style="108" customWidth="1"/>
    <col min="2310" max="2310" width="13.7109375" style="108" customWidth="1"/>
    <col min="2311" max="2311" width="16.28515625" style="108" customWidth="1"/>
    <col min="2312" max="2315" width="7.85546875" style="108"/>
    <col min="2316" max="2316" width="14.7109375" style="108" bestFit="1" customWidth="1"/>
    <col min="2317" max="2558" width="7.85546875" style="108"/>
    <col min="2559" max="2559" width="26.42578125" style="108" customWidth="1"/>
    <col min="2560" max="2560" width="12.28515625" style="108" customWidth="1"/>
    <col min="2561" max="2561" width="14.85546875" style="108" customWidth="1"/>
    <col min="2562" max="2562" width="14.42578125" style="108" customWidth="1"/>
    <col min="2563" max="2565" width="15.140625" style="108" customWidth="1"/>
    <col min="2566" max="2566" width="13.7109375" style="108" customWidth="1"/>
    <col min="2567" max="2567" width="16.28515625" style="108" customWidth="1"/>
    <col min="2568" max="2571" width="7.85546875" style="108"/>
    <col min="2572" max="2572" width="14.7109375" style="108" bestFit="1" customWidth="1"/>
    <col min="2573" max="2814" width="7.85546875" style="108"/>
    <col min="2815" max="2815" width="26.42578125" style="108" customWidth="1"/>
    <col min="2816" max="2816" width="12.28515625" style="108" customWidth="1"/>
    <col min="2817" max="2817" width="14.85546875" style="108" customWidth="1"/>
    <col min="2818" max="2818" width="14.42578125" style="108" customWidth="1"/>
    <col min="2819" max="2821" width="15.140625" style="108" customWidth="1"/>
    <col min="2822" max="2822" width="13.7109375" style="108" customWidth="1"/>
    <col min="2823" max="2823" width="16.28515625" style="108" customWidth="1"/>
    <col min="2824" max="2827" width="7.85546875" style="108"/>
    <col min="2828" max="2828" width="14.7109375" style="108" bestFit="1" customWidth="1"/>
    <col min="2829" max="3070" width="7.85546875" style="108"/>
    <col min="3071" max="3071" width="26.42578125" style="108" customWidth="1"/>
    <col min="3072" max="3072" width="12.28515625" style="108" customWidth="1"/>
    <col min="3073" max="3073" width="14.85546875" style="108" customWidth="1"/>
    <col min="3074" max="3074" width="14.42578125" style="108" customWidth="1"/>
    <col min="3075" max="3077" width="15.140625" style="108" customWidth="1"/>
    <col min="3078" max="3078" width="13.7109375" style="108" customWidth="1"/>
    <col min="3079" max="3079" width="16.28515625" style="108" customWidth="1"/>
    <col min="3080" max="3083" width="7.85546875" style="108"/>
    <col min="3084" max="3084" width="14.7109375" style="108" bestFit="1" customWidth="1"/>
    <col min="3085" max="3326" width="7.85546875" style="108"/>
    <col min="3327" max="3327" width="26.42578125" style="108" customWidth="1"/>
    <col min="3328" max="3328" width="12.28515625" style="108" customWidth="1"/>
    <col min="3329" max="3329" width="14.85546875" style="108" customWidth="1"/>
    <col min="3330" max="3330" width="14.42578125" style="108" customWidth="1"/>
    <col min="3331" max="3333" width="15.140625" style="108" customWidth="1"/>
    <col min="3334" max="3334" width="13.7109375" style="108" customWidth="1"/>
    <col min="3335" max="3335" width="16.28515625" style="108" customWidth="1"/>
    <col min="3336" max="3339" width="7.85546875" style="108"/>
    <col min="3340" max="3340" width="14.7109375" style="108" bestFit="1" customWidth="1"/>
    <col min="3341" max="3582" width="7.85546875" style="108"/>
    <col min="3583" max="3583" width="26.42578125" style="108" customWidth="1"/>
    <col min="3584" max="3584" width="12.28515625" style="108" customWidth="1"/>
    <col min="3585" max="3585" width="14.85546875" style="108" customWidth="1"/>
    <col min="3586" max="3586" width="14.42578125" style="108" customWidth="1"/>
    <col min="3587" max="3589" width="15.140625" style="108" customWidth="1"/>
    <col min="3590" max="3590" width="13.7109375" style="108" customWidth="1"/>
    <col min="3591" max="3591" width="16.28515625" style="108" customWidth="1"/>
    <col min="3592" max="3595" width="7.85546875" style="108"/>
    <col min="3596" max="3596" width="14.7109375" style="108" bestFit="1" customWidth="1"/>
    <col min="3597" max="3838" width="7.85546875" style="108"/>
    <col min="3839" max="3839" width="26.42578125" style="108" customWidth="1"/>
    <col min="3840" max="3840" width="12.28515625" style="108" customWidth="1"/>
    <col min="3841" max="3841" width="14.85546875" style="108" customWidth="1"/>
    <col min="3842" max="3842" width="14.42578125" style="108" customWidth="1"/>
    <col min="3843" max="3845" width="15.140625" style="108" customWidth="1"/>
    <col min="3846" max="3846" width="13.7109375" style="108" customWidth="1"/>
    <col min="3847" max="3847" width="16.28515625" style="108" customWidth="1"/>
    <col min="3848" max="3851" width="7.85546875" style="108"/>
    <col min="3852" max="3852" width="14.7109375" style="108" bestFit="1" customWidth="1"/>
    <col min="3853" max="4094" width="7.85546875" style="108"/>
    <col min="4095" max="4095" width="26.42578125" style="108" customWidth="1"/>
    <col min="4096" max="4096" width="12.28515625" style="108" customWidth="1"/>
    <col min="4097" max="4097" width="14.85546875" style="108" customWidth="1"/>
    <col min="4098" max="4098" width="14.42578125" style="108" customWidth="1"/>
    <col min="4099" max="4101" width="15.140625" style="108" customWidth="1"/>
    <col min="4102" max="4102" width="13.7109375" style="108" customWidth="1"/>
    <col min="4103" max="4103" width="16.28515625" style="108" customWidth="1"/>
    <col min="4104" max="4107" width="7.85546875" style="108"/>
    <col min="4108" max="4108" width="14.7109375" style="108" bestFit="1" customWidth="1"/>
    <col min="4109" max="4350" width="7.85546875" style="108"/>
    <col min="4351" max="4351" width="26.42578125" style="108" customWidth="1"/>
    <col min="4352" max="4352" width="12.28515625" style="108" customWidth="1"/>
    <col min="4353" max="4353" width="14.85546875" style="108" customWidth="1"/>
    <col min="4354" max="4354" width="14.42578125" style="108" customWidth="1"/>
    <col min="4355" max="4357" width="15.140625" style="108" customWidth="1"/>
    <col min="4358" max="4358" width="13.7109375" style="108" customWidth="1"/>
    <col min="4359" max="4359" width="16.28515625" style="108" customWidth="1"/>
    <col min="4360" max="4363" width="7.85546875" style="108"/>
    <col min="4364" max="4364" width="14.7109375" style="108" bestFit="1" customWidth="1"/>
    <col min="4365" max="4606" width="7.85546875" style="108"/>
    <col min="4607" max="4607" width="26.42578125" style="108" customWidth="1"/>
    <col min="4608" max="4608" width="12.28515625" style="108" customWidth="1"/>
    <col min="4609" max="4609" width="14.85546875" style="108" customWidth="1"/>
    <col min="4610" max="4610" width="14.42578125" style="108" customWidth="1"/>
    <col min="4611" max="4613" width="15.140625" style="108" customWidth="1"/>
    <col min="4614" max="4614" width="13.7109375" style="108" customWidth="1"/>
    <col min="4615" max="4615" width="16.28515625" style="108" customWidth="1"/>
    <col min="4616" max="4619" width="7.85546875" style="108"/>
    <col min="4620" max="4620" width="14.7109375" style="108" bestFit="1" customWidth="1"/>
    <col min="4621" max="4862" width="7.85546875" style="108"/>
    <col min="4863" max="4863" width="26.42578125" style="108" customWidth="1"/>
    <col min="4864" max="4864" width="12.28515625" style="108" customWidth="1"/>
    <col min="4865" max="4865" width="14.85546875" style="108" customWidth="1"/>
    <col min="4866" max="4866" width="14.42578125" style="108" customWidth="1"/>
    <col min="4867" max="4869" width="15.140625" style="108" customWidth="1"/>
    <col min="4870" max="4870" width="13.7109375" style="108" customWidth="1"/>
    <col min="4871" max="4871" width="16.28515625" style="108" customWidth="1"/>
    <col min="4872" max="4875" width="7.85546875" style="108"/>
    <col min="4876" max="4876" width="14.7109375" style="108" bestFit="1" customWidth="1"/>
    <col min="4877" max="5118" width="7.85546875" style="108"/>
    <col min="5119" max="5119" width="26.42578125" style="108" customWidth="1"/>
    <col min="5120" max="5120" width="12.28515625" style="108" customWidth="1"/>
    <col min="5121" max="5121" width="14.85546875" style="108" customWidth="1"/>
    <col min="5122" max="5122" width="14.42578125" style="108" customWidth="1"/>
    <col min="5123" max="5125" width="15.140625" style="108" customWidth="1"/>
    <col min="5126" max="5126" width="13.7109375" style="108" customWidth="1"/>
    <col min="5127" max="5127" width="16.28515625" style="108" customWidth="1"/>
    <col min="5128" max="5131" width="7.85546875" style="108"/>
    <col min="5132" max="5132" width="14.7109375" style="108" bestFit="1" customWidth="1"/>
    <col min="5133" max="5374" width="7.85546875" style="108"/>
    <col min="5375" max="5375" width="26.42578125" style="108" customWidth="1"/>
    <col min="5376" max="5376" width="12.28515625" style="108" customWidth="1"/>
    <col min="5377" max="5377" width="14.85546875" style="108" customWidth="1"/>
    <col min="5378" max="5378" width="14.42578125" style="108" customWidth="1"/>
    <col min="5379" max="5381" width="15.140625" style="108" customWidth="1"/>
    <col min="5382" max="5382" width="13.7109375" style="108" customWidth="1"/>
    <col min="5383" max="5383" width="16.28515625" style="108" customWidth="1"/>
    <col min="5384" max="5387" width="7.85546875" style="108"/>
    <col min="5388" max="5388" width="14.7109375" style="108" bestFit="1" customWidth="1"/>
    <col min="5389" max="5630" width="7.85546875" style="108"/>
    <col min="5631" max="5631" width="26.42578125" style="108" customWidth="1"/>
    <col min="5632" max="5632" width="12.28515625" style="108" customWidth="1"/>
    <col min="5633" max="5633" width="14.85546875" style="108" customWidth="1"/>
    <col min="5634" max="5634" width="14.42578125" style="108" customWidth="1"/>
    <col min="5635" max="5637" width="15.140625" style="108" customWidth="1"/>
    <col min="5638" max="5638" width="13.7109375" style="108" customWidth="1"/>
    <col min="5639" max="5639" width="16.28515625" style="108" customWidth="1"/>
    <col min="5640" max="5643" width="7.85546875" style="108"/>
    <col min="5644" max="5644" width="14.7109375" style="108" bestFit="1" customWidth="1"/>
    <col min="5645" max="5886" width="7.85546875" style="108"/>
    <col min="5887" max="5887" width="26.42578125" style="108" customWidth="1"/>
    <col min="5888" max="5888" width="12.28515625" style="108" customWidth="1"/>
    <col min="5889" max="5889" width="14.85546875" style="108" customWidth="1"/>
    <col min="5890" max="5890" width="14.42578125" style="108" customWidth="1"/>
    <col min="5891" max="5893" width="15.140625" style="108" customWidth="1"/>
    <col min="5894" max="5894" width="13.7109375" style="108" customWidth="1"/>
    <col min="5895" max="5895" width="16.28515625" style="108" customWidth="1"/>
    <col min="5896" max="5899" width="7.85546875" style="108"/>
    <col min="5900" max="5900" width="14.7109375" style="108" bestFit="1" customWidth="1"/>
    <col min="5901" max="6142" width="7.85546875" style="108"/>
    <col min="6143" max="6143" width="26.42578125" style="108" customWidth="1"/>
    <col min="6144" max="6144" width="12.28515625" style="108" customWidth="1"/>
    <col min="6145" max="6145" width="14.85546875" style="108" customWidth="1"/>
    <col min="6146" max="6146" width="14.42578125" style="108" customWidth="1"/>
    <col min="6147" max="6149" width="15.140625" style="108" customWidth="1"/>
    <col min="6150" max="6150" width="13.7109375" style="108" customWidth="1"/>
    <col min="6151" max="6151" width="16.28515625" style="108" customWidth="1"/>
    <col min="6152" max="6155" width="7.85546875" style="108"/>
    <col min="6156" max="6156" width="14.7109375" style="108" bestFit="1" customWidth="1"/>
    <col min="6157" max="6398" width="7.85546875" style="108"/>
    <col min="6399" max="6399" width="26.42578125" style="108" customWidth="1"/>
    <col min="6400" max="6400" width="12.28515625" style="108" customWidth="1"/>
    <col min="6401" max="6401" width="14.85546875" style="108" customWidth="1"/>
    <col min="6402" max="6402" width="14.42578125" style="108" customWidth="1"/>
    <col min="6403" max="6405" width="15.140625" style="108" customWidth="1"/>
    <col min="6406" max="6406" width="13.7109375" style="108" customWidth="1"/>
    <col min="6407" max="6407" width="16.28515625" style="108" customWidth="1"/>
    <col min="6408" max="6411" width="7.85546875" style="108"/>
    <col min="6412" max="6412" width="14.7109375" style="108" bestFit="1" customWidth="1"/>
    <col min="6413" max="6654" width="7.85546875" style="108"/>
    <col min="6655" max="6655" width="26.42578125" style="108" customWidth="1"/>
    <col min="6656" max="6656" width="12.28515625" style="108" customWidth="1"/>
    <col min="6657" max="6657" width="14.85546875" style="108" customWidth="1"/>
    <col min="6658" max="6658" width="14.42578125" style="108" customWidth="1"/>
    <col min="6659" max="6661" width="15.140625" style="108" customWidth="1"/>
    <col min="6662" max="6662" width="13.7109375" style="108" customWidth="1"/>
    <col min="6663" max="6663" width="16.28515625" style="108" customWidth="1"/>
    <col min="6664" max="6667" width="7.85546875" style="108"/>
    <col min="6668" max="6668" width="14.7109375" style="108" bestFit="1" customWidth="1"/>
    <col min="6669" max="6910" width="7.85546875" style="108"/>
    <col min="6911" max="6911" width="26.42578125" style="108" customWidth="1"/>
    <col min="6912" max="6912" width="12.28515625" style="108" customWidth="1"/>
    <col min="6913" max="6913" width="14.85546875" style="108" customWidth="1"/>
    <col min="6914" max="6914" width="14.42578125" style="108" customWidth="1"/>
    <col min="6915" max="6917" width="15.140625" style="108" customWidth="1"/>
    <col min="6918" max="6918" width="13.7109375" style="108" customWidth="1"/>
    <col min="6919" max="6919" width="16.28515625" style="108" customWidth="1"/>
    <col min="6920" max="6923" width="7.85546875" style="108"/>
    <col min="6924" max="6924" width="14.7109375" style="108" bestFit="1" customWidth="1"/>
    <col min="6925" max="7166" width="7.85546875" style="108"/>
    <col min="7167" max="7167" width="26.42578125" style="108" customWidth="1"/>
    <col min="7168" max="7168" width="12.28515625" style="108" customWidth="1"/>
    <col min="7169" max="7169" width="14.85546875" style="108" customWidth="1"/>
    <col min="7170" max="7170" width="14.42578125" style="108" customWidth="1"/>
    <col min="7171" max="7173" width="15.140625" style="108" customWidth="1"/>
    <col min="7174" max="7174" width="13.7109375" style="108" customWidth="1"/>
    <col min="7175" max="7175" width="16.28515625" style="108" customWidth="1"/>
    <col min="7176" max="7179" width="7.85546875" style="108"/>
    <col min="7180" max="7180" width="14.7109375" style="108" bestFit="1" customWidth="1"/>
    <col min="7181" max="7422" width="7.85546875" style="108"/>
    <col min="7423" max="7423" width="26.42578125" style="108" customWidth="1"/>
    <col min="7424" max="7424" width="12.28515625" style="108" customWidth="1"/>
    <col min="7425" max="7425" width="14.85546875" style="108" customWidth="1"/>
    <col min="7426" max="7426" width="14.42578125" style="108" customWidth="1"/>
    <col min="7427" max="7429" width="15.140625" style="108" customWidth="1"/>
    <col min="7430" max="7430" width="13.7109375" style="108" customWidth="1"/>
    <col min="7431" max="7431" width="16.28515625" style="108" customWidth="1"/>
    <col min="7432" max="7435" width="7.85546875" style="108"/>
    <col min="7436" max="7436" width="14.7109375" style="108" bestFit="1" customWidth="1"/>
    <col min="7437" max="7678" width="7.85546875" style="108"/>
    <col min="7679" max="7679" width="26.42578125" style="108" customWidth="1"/>
    <col min="7680" max="7680" width="12.28515625" style="108" customWidth="1"/>
    <col min="7681" max="7681" width="14.85546875" style="108" customWidth="1"/>
    <col min="7682" max="7682" width="14.42578125" style="108" customWidth="1"/>
    <col min="7683" max="7685" width="15.140625" style="108" customWidth="1"/>
    <col min="7686" max="7686" width="13.7109375" style="108" customWidth="1"/>
    <col min="7687" max="7687" width="16.28515625" style="108" customWidth="1"/>
    <col min="7688" max="7691" width="7.85546875" style="108"/>
    <col min="7692" max="7692" width="14.7109375" style="108" bestFit="1" customWidth="1"/>
    <col min="7693" max="7934" width="7.85546875" style="108"/>
    <col min="7935" max="7935" width="26.42578125" style="108" customWidth="1"/>
    <col min="7936" max="7936" width="12.28515625" style="108" customWidth="1"/>
    <col min="7937" max="7937" width="14.85546875" style="108" customWidth="1"/>
    <col min="7938" max="7938" width="14.42578125" style="108" customWidth="1"/>
    <col min="7939" max="7941" width="15.140625" style="108" customWidth="1"/>
    <col min="7942" max="7942" width="13.7109375" style="108" customWidth="1"/>
    <col min="7943" max="7943" width="16.28515625" style="108" customWidth="1"/>
    <col min="7944" max="7947" width="7.85546875" style="108"/>
    <col min="7948" max="7948" width="14.7109375" style="108" bestFit="1" customWidth="1"/>
    <col min="7949" max="8190" width="7.85546875" style="108"/>
    <col min="8191" max="8191" width="26.42578125" style="108" customWidth="1"/>
    <col min="8192" max="8192" width="12.28515625" style="108" customWidth="1"/>
    <col min="8193" max="8193" width="14.85546875" style="108" customWidth="1"/>
    <col min="8194" max="8194" width="14.42578125" style="108" customWidth="1"/>
    <col min="8195" max="8197" width="15.140625" style="108" customWidth="1"/>
    <col min="8198" max="8198" width="13.7109375" style="108" customWidth="1"/>
    <col min="8199" max="8199" width="16.28515625" style="108" customWidth="1"/>
    <col min="8200" max="8203" width="7.85546875" style="108"/>
    <col min="8204" max="8204" width="14.7109375" style="108" bestFit="1" customWidth="1"/>
    <col min="8205" max="8446" width="7.85546875" style="108"/>
    <col min="8447" max="8447" width="26.42578125" style="108" customWidth="1"/>
    <col min="8448" max="8448" width="12.28515625" style="108" customWidth="1"/>
    <col min="8449" max="8449" width="14.85546875" style="108" customWidth="1"/>
    <col min="8450" max="8450" width="14.42578125" style="108" customWidth="1"/>
    <col min="8451" max="8453" width="15.140625" style="108" customWidth="1"/>
    <col min="8454" max="8454" width="13.7109375" style="108" customWidth="1"/>
    <col min="8455" max="8455" width="16.28515625" style="108" customWidth="1"/>
    <col min="8456" max="8459" width="7.85546875" style="108"/>
    <col min="8460" max="8460" width="14.7109375" style="108" bestFit="1" customWidth="1"/>
    <col min="8461" max="8702" width="7.85546875" style="108"/>
    <col min="8703" max="8703" width="26.42578125" style="108" customWidth="1"/>
    <col min="8704" max="8704" width="12.28515625" style="108" customWidth="1"/>
    <col min="8705" max="8705" width="14.85546875" style="108" customWidth="1"/>
    <col min="8706" max="8706" width="14.42578125" style="108" customWidth="1"/>
    <col min="8707" max="8709" width="15.140625" style="108" customWidth="1"/>
    <col min="8710" max="8710" width="13.7109375" style="108" customWidth="1"/>
    <col min="8711" max="8711" width="16.28515625" style="108" customWidth="1"/>
    <col min="8712" max="8715" width="7.85546875" style="108"/>
    <col min="8716" max="8716" width="14.7109375" style="108" bestFit="1" customWidth="1"/>
    <col min="8717" max="8958" width="7.85546875" style="108"/>
    <col min="8959" max="8959" width="26.42578125" style="108" customWidth="1"/>
    <col min="8960" max="8960" width="12.28515625" style="108" customWidth="1"/>
    <col min="8961" max="8961" width="14.85546875" style="108" customWidth="1"/>
    <col min="8962" max="8962" width="14.42578125" style="108" customWidth="1"/>
    <col min="8963" max="8965" width="15.140625" style="108" customWidth="1"/>
    <col min="8966" max="8966" width="13.7109375" style="108" customWidth="1"/>
    <col min="8967" max="8967" width="16.28515625" style="108" customWidth="1"/>
    <col min="8968" max="8971" width="7.85546875" style="108"/>
    <col min="8972" max="8972" width="14.7109375" style="108" bestFit="1" customWidth="1"/>
    <col min="8973" max="9214" width="7.85546875" style="108"/>
    <col min="9215" max="9215" width="26.42578125" style="108" customWidth="1"/>
    <col min="9216" max="9216" width="12.28515625" style="108" customWidth="1"/>
    <col min="9217" max="9217" width="14.85546875" style="108" customWidth="1"/>
    <col min="9218" max="9218" width="14.42578125" style="108" customWidth="1"/>
    <col min="9219" max="9221" width="15.140625" style="108" customWidth="1"/>
    <col min="9222" max="9222" width="13.7109375" style="108" customWidth="1"/>
    <col min="9223" max="9223" width="16.28515625" style="108" customWidth="1"/>
    <col min="9224" max="9227" width="7.85546875" style="108"/>
    <col min="9228" max="9228" width="14.7109375" style="108" bestFit="1" customWidth="1"/>
    <col min="9229" max="9470" width="7.85546875" style="108"/>
    <col min="9471" max="9471" width="26.42578125" style="108" customWidth="1"/>
    <col min="9472" max="9472" width="12.28515625" style="108" customWidth="1"/>
    <col min="9473" max="9473" width="14.85546875" style="108" customWidth="1"/>
    <col min="9474" max="9474" width="14.42578125" style="108" customWidth="1"/>
    <col min="9475" max="9477" width="15.140625" style="108" customWidth="1"/>
    <col min="9478" max="9478" width="13.7109375" style="108" customWidth="1"/>
    <col min="9479" max="9479" width="16.28515625" style="108" customWidth="1"/>
    <col min="9480" max="9483" width="7.85546875" style="108"/>
    <col min="9484" max="9484" width="14.7109375" style="108" bestFit="1" customWidth="1"/>
    <col min="9485" max="9726" width="7.85546875" style="108"/>
    <col min="9727" max="9727" width="26.42578125" style="108" customWidth="1"/>
    <col min="9728" max="9728" width="12.28515625" style="108" customWidth="1"/>
    <col min="9729" max="9729" width="14.85546875" style="108" customWidth="1"/>
    <col min="9730" max="9730" width="14.42578125" style="108" customWidth="1"/>
    <col min="9731" max="9733" width="15.140625" style="108" customWidth="1"/>
    <col min="9734" max="9734" width="13.7109375" style="108" customWidth="1"/>
    <col min="9735" max="9735" width="16.28515625" style="108" customWidth="1"/>
    <col min="9736" max="9739" width="7.85546875" style="108"/>
    <col min="9740" max="9740" width="14.7109375" style="108" bestFit="1" customWidth="1"/>
    <col min="9741" max="9982" width="7.85546875" style="108"/>
    <col min="9983" max="9983" width="26.42578125" style="108" customWidth="1"/>
    <col min="9984" max="9984" width="12.28515625" style="108" customWidth="1"/>
    <col min="9985" max="9985" width="14.85546875" style="108" customWidth="1"/>
    <col min="9986" max="9986" width="14.42578125" style="108" customWidth="1"/>
    <col min="9987" max="9989" width="15.140625" style="108" customWidth="1"/>
    <col min="9990" max="9990" width="13.7109375" style="108" customWidth="1"/>
    <col min="9991" max="9991" width="16.28515625" style="108" customWidth="1"/>
    <col min="9992" max="9995" width="7.85546875" style="108"/>
    <col min="9996" max="9996" width="14.7109375" style="108" bestFit="1" customWidth="1"/>
    <col min="9997" max="10238" width="7.85546875" style="108"/>
    <col min="10239" max="10239" width="26.42578125" style="108" customWidth="1"/>
    <col min="10240" max="10240" width="12.28515625" style="108" customWidth="1"/>
    <col min="10241" max="10241" width="14.85546875" style="108" customWidth="1"/>
    <col min="10242" max="10242" width="14.42578125" style="108" customWidth="1"/>
    <col min="10243" max="10245" width="15.140625" style="108" customWidth="1"/>
    <col min="10246" max="10246" width="13.7109375" style="108" customWidth="1"/>
    <col min="10247" max="10247" width="16.28515625" style="108" customWidth="1"/>
    <col min="10248" max="10251" width="7.85546875" style="108"/>
    <col min="10252" max="10252" width="14.7109375" style="108" bestFit="1" customWidth="1"/>
    <col min="10253" max="10494" width="7.85546875" style="108"/>
    <col min="10495" max="10495" width="26.42578125" style="108" customWidth="1"/>
    <col min="10496" max="10496" width="12.28515625" style="108" customWidth="1"/>
    <col min="10497" max="10497" width="14.85546875" style="108" customWidth="1"/>
    <col min="10498" max="10498" width="14.42578125" style="108" customWidth="1"/>
    <col min="10499" max="10501" width="15.140625" style="108" customWidth="1"/>
    <col min="10502" max="10502" width="13.7109375" style="108" customWidth="1"/>
    <col min="10503" max="10503" width="16.28515625" style="108" customWidth="1"/>
    <col min="10504" max="10507" width="7.85546875" style="108"/>
    <col min="10508" max="10508" width="14.7109375" style="108" bestFit="1" customWidth="1"/>
    <col min="10509" max="10750" width="7.85546875" style="108"/>
    <col min="10751" max="10751" width="26.42578125" style="108" customWidth="1"/>
    <col min="10752" max="10752" width="12.28515625" style="108" customWidth="1"/>
    <col min="10753" max="10753" width="14.85546875" style="108" customWidth="1"/>
    <col min="10754" max="10754" width="14.42578125" style="108" customWidth="1"/>
    <col min="10755" max="10757" width="15.140625" style="108" customWidth="1"/>
    <col min="10758" max="10758" width="13.7109375" style="108" customWidth="1"/>
    <col min="10759" max="10759" width="16.28515625" style="108" customWidth="1"/>
    <col min="10760" max="10763" width="7.85546875" style="108"/>
    <col min="10764" max="10764" width="14.7109375" style="108" bestFit="1" customWidth="1"/>
    <col min="10765" max="11006" width="7.85546875" style="108"/>
    <col min="11007" max="11007" width="26.42578125" style="108" customWidth="1"/>
    <col min="11008" max="11008" width="12.28515625" style="108" customWidth="1"/>
    <col min="11009" max="11009" width="14.85546875" style="108" customWidth="1"/>
    <col min="11010" max="11010" width="14.42578125" style="108" customWidth="1"/>
    <col min="11011" max="11013" width="15.140625" style="108" customWidth="1"/>
    <col min="11014" max="11014" width="13.7109375" style="108" customWidth="1"/>
    <col min="11015" max="11015" width="16.28515625" style="108" customWidth="1"/>
    <col min="11016" max="11019" width="7.85546875" style="108"/>
    <col min="11020" max="11020" width="14.7109375" style="108" bestFit="1" customWidth="1"/>
    <col min="11021" max="11262" width="7.85546875" style="108"/>
    <col min="11263" max="11263" width="26.42578125" style="108" customWidth="1"/>
    <col min="11264" max="11264" width="12.28515625" style="108" customWidth="1"/>
    <col min="11265" max="11265" width="14.85546875" style="108" customWidth="1"/>
    <col min="11266" max="11266" width="14.42578125" style="108" customWidth="1"/>
    <col min="11267" max="11269" width="15.140625" style="108" customWidth="1"/>
    <col min="11270" max="11270" width="13.7109375" style="108" customWidth="1"/>
    <col min="11271" max="11271" width="16.28515625" style="108" customWidth="1"/>
    <col min="11272" max="11275" width="7.85546875" style="108"/>
    <col min="11276" max="11276" width="14.7109375" style="108" bestFit="1" customWidth="1"/>
    <col min="11277" max="11518" width="7.85546875" style="108"/>
    <col min="11519" max="11519" width="26.42578125" style="108" customWidth="1"/>
    <col min="11520" max="11520" width="12.28515625" style="108" customWidth="1"/>
    <col min="11521" max="11521" width="14.85546875" style="108" customWidth="1"/>
    <col min="11522" max="11522" width="14.42578125" style="108" customWidth="1"/>
    <col min="11523" max="11525" width="15.140625" style="108" customWidth="1"/>
    <col min="11526" max="11526" width="13.7109375" style="108" customWidth="1"/>
    <col min="11527" max="11527" width="16.28515625" style="108" customWidth="1"/>
    <col min="11528" max="11531" width="7.85546875" style="108"/>
    <col min="11532" max="11532" width="14.7109375" style="108" bestFit="1" customWidth="1"/>
    <col min="11533" max="11774" width="7.85546875" style="108"/>
    <col min="11775" max="11775" width="26.42578125" style="108" customWidth="1"/>
    <col min="11776" max="11776" width="12.28515625" style="108" customWidth="1"/>
    <col min="11777" max="11777" width="14.85546875" style="108" customWidth="1"/>
    <col min="11778" max="11778" width="14.42578125" style="108" customWidth="1"/>
    <col min="11779" max="11781" width="15.140625" style="108" customWidth="1"/>
    <col min="11782" max="11782" width="13.7109375" style="108" customWidth="1"/>
    <col min="11783" max="11783" width="16.28515625" style="108" customWidth="1"/>
    <col min="11784" max="11787" width="7.85546875" style="108"/>
    <col min="11788" max="11788" width="14.7109375" style="108" bestFit="1" customWidth="1"/>
    <col min="11789" max="12030" width="7.85546875" style="108"/>
    <col min="12031" max="12031" width="26.42578125" style="108" customWidth="1"/>
    <col min="12032" max="12032" width="12.28515625" style="108" customWidth="1"/>
    <col min="12033" max="12033" width="14.85546875" style="108" customWidth="1"/>
    <col min="12034" max="12034" width="14.42578125" style="108" customWidth="1"/>
    <col min="12035" max="12037" width="15.140625" style="108" customWidth="1"/>
    <col min="12038" max="12038" width="13.7109375" style="108" customWidth="1"/>
    <col min="12039" max="12039" width="16.28515625" style="108" customWidth="1"/>
    <col min="12040" max="12043" width="7.85546875" style="108"/>
    <col min="12044" max="12044" width="14.7109375" style="108" bestFit="1" customWidth="1"/>
    <col min="12045" max="12286" width="7.85546875" style="108"/>
    <col min="12287" max="12287" width="26.42578125" style="108" customWidth="1"/>
    <col min="12288" max="12288" width="12.28515625" style="108" customWidth="1"/>
    <col min="12289" max="12289" width="14.85546875" style="108" customWidth="1"/>
    <col min="12290" max="12290" width="14.42578125" style="108" customWidth="1"/>
    <col min="12291" max="12293" width="15.140625" style="108" customWidth="1"/>
    <col min="12294" max="12294" width="13.7109375" style="108" customWidth="1"/>
    <col min="12295" max="12295" width="16.28515625" style="108" customWidth="1"/>
    <col min="12296" max="12299" width="7.85546875" style="108"/>
    <col min="12300" max="12300" width="14.7109375" style="108" bestFit="1" customWidth="1"/>
    <col min="12301" max="12542" width="7.85546875" style="108"/>
    <col min="12543" max="12543" width="26.42578125" style="108" customWidth="1"/>
    <col min="12544" max="12544" width="12.28515625" style="108" customWidth="1"/>
    <col min="12545" max="12545" width="14.85546875" style="108" customWidth="1"/>
    <col min="12546" max="12546" width="14.42578125" style="108" customWidth="1"/>
    <col min="12547" max="12549" width="15.140625" style="108" customWidth="1"/>
    <col min="12550" max="12550" width="13.7109375" style="108" customWidth="1"/>
    <col min="12551" max="12551" width="16.28515625" style="108" customWidth="1"/>
    <col min="12552" max="12555" width="7.85546875" style="108"/>
    <col min="12556" max="12556" width="14.7109375" style="108" bestFit="1" customWidth="1"/>
    <col min="12557" max="12798" width="7.85546875" style="108"/>
    <col min="12799" max="12799" width="26.42578125" style="108" customWidth="1"/>
    <col min="12800" max="12800" width="12.28515625" style="108" customWidth="1"/>
    <col min="12801" max="12801" width="14.85546875" style="108" customWidth="1"/>
    <col min="12802" max="12802" width="14.42578125" style="108" customWidth="1"/>
    <col min="12803" max="12805" width="15.140625" style="108" customWidth="1"/>
    <col min="12806" max="12806" width="13.7109375" style="108" customWidth="1"/>
    <col min="12807" max="12807" width="16.28515625" style="108" customWidth="1"/>
    <col min="12808" max="12811" width="7.85546875" style="108"/>
    <col min="12812" max="12812" width="14.7109375" style="108" bestFit="1" customWidth="1"/>
    <col min="12813" max="13054" width="7.85546875" style="108"/>
    <col min="13055" max="13055" width="26.42578125" style="108" customWidth="1"/>
    <col min="13056" max="13056" width="12.28515625" style="108" customWidth="1"/>
    <col min="13057" max="13057" width="14.85546875" style="108" customWidth="1"/>
    <col min="13058" max="13058" width="14.42578125" style="108" customWidth="1"/>
    <col min="13059" max="13061" width="15.140625" style="108" customWidth="1"/>
    <col min="13062" max="13062" width="13.7109375" style="108" customWidth="1"/>
    <col min="13063" max="13063" width="16.28515625" style="108" customWidth="1"/>
    <col min="13064" max="13067" width="7.85546875" style="108"/>
    <col min="13068" max="13068" width="14.7109375" style="108" bestFit="1" customWidth="1"/>
    <col min="13069" max="13310" width="7.85546875" style="108"/>
    <col min="13311" max="13311" width="26.42578125" style="108" customWidth="1"/>
    <col min="13312" max="13312" width="12.28515625" style="108" customWidth="1"/>
    <col min="13313" max="13313" width="14.85546875" style="108" customWidth="1"/>
    <col min="13314" max="13314" width="14.42578125" style="108" customWidth="1"/>
    <col min="13315" max="13317" width="15.140625" style="108" customWidth="1"/>
    <col min="13318" max="13318" width="13.7109375" style="108" customWidth="1"/>
    <col min="13319" max="13319" width="16.28515625" style="108" customWidth="1"/>
    <col min="13320" max="13323" width="7.85546875" style="108"/>
    <col min="13324" max="13324" width="14.7109375" style="108" bestFit="1" customWidth="1"/>
    <col min="13325" max="13566" width="7.85546875" style="108"/>
    <col min="13567" max="13567" width="26.42578125" style="108" customWidth="1"/>
    <col min="13568" max="13568" width="12.28515625" style="108" customWidth="1"/>
    <col min="13569" max="13569" width="14.85546875" style="108" customWidth="1"/>
    <col min="13570" max="13570" width="14.42578125" style="108" customWidth="1"/>
    <col min="13571" max="13573" width="15.140625" style="108" customWidth="1"/>
    <col min="13574" max="13574" width="13.7109375" style="108" customWidth="1"/>
    <col min="13575" max="13575" width="16.28515625" style="108" customWidth="1"/>
    <col min="13576" max="13579" width="7.85546875" style="108"/>
    <col min="13580" max="13580" width="14.7109375" style="108" bestFit="1" customWidth="1"/>
    <col min="13581" max="13822" width="7.85546875" style="108"/>
    <col min="13823" max="13823" width="26.42578125" style="108" customWidth="1"/>
    <col min="13824" max="13824" width="12.28515625" style="108" customWidth="1"/>
    <col min="13825" max="13825" width="14.85546875" style="108" customWidth="1"/>
    <col min="13826" max="13826" width="14.42578125" style="108" customWidth="1"/>
    <col min="13827" max="13829" width="15.140625" style="108" customWidth="1"/>
    <col min="13830" max="13830" width="13.7109375" style="108" customWidth="1"/>
    <col min="13831" max="13831" width="16.28515625" style="108" customWidth="1"/>
    <col min="13832" max="13835" width="7.85546875" style="108"/>
    <col min="13836" max="13836" width="14.7109375" style="108" bestFit="1" customWidth="1"/>
    <col min="13837" max="14078" width="7.85546875" style="108"/>
    <col min="14079" max="14079" width="26.42578125" style="108" customWidth="1"/>
    <col min="14080" max="14080" width="12.28515625" style="108" customWidth="1"/>
    <col min="14081" max="14081" width="14.85546875" style="108" customWidth="1"/>
    <col min="14082" max="14082" width="14.42578125" style="108" customWidth="1"/>
    <col min="14083" max="14085" width="15.140625" style="108" customWidth="1"/>
    <col min="14086" max="14086" width="13.7109375" style="108" customWidth="1"/>
    <col min="14087" max="14087" width="16.28515625" style="108" customWidth="1"/>
    <col min="14088" max="14091" width="7.85546875" style="108"/>
    <col min="14092" max="14092" width="14.7109375" style="108" bestFit="1" customWidth="1"/>
    <col min="14093" max="14334" width="7.85546875" style="108"/>
    <col min="14335" max="14335" width="26.42578125" style="108" customWidth="1"/>
    <col min="14336" max="14336" width="12.28515625" style="108" customWidth="1"/>
    <col min="14337" max="14337" width="14.85546875" style="108" customWidth="1"/>
    <col min="14338" max="14338" width="14.42578125" style="108" customWidth="1"/>
    <col min="14339" max="14341" width="15.140625" style="108" customWidth="1"/>
    <col min="14342" max="14342" width="13.7109375" style="108" customWidth="1"/>
    <col min="14343" max="14343" width="16.28515625" style="108" customWidth="1"/>
    <col min="14344" max="14347" width="7.85546875" style="108"/>
    <col min="14348" max="14348" width="14.7109375" style="108" bestFit="1" customWidth="1"/>
    <col min="14349" max="14590" width="7.85546875" style="108"/>
    <col min="14591" max="14591" width="26.42578125" style="108" customWidth="1"/>
    <col min="14592" max="14592" width="12.28515625" style="108" customWidth="1"/>
    <col min="14593" max="14593" width="14.85546875" style="108" customWidth="1"/>
    <col min="14594" max="14594" width="14.42578125" style="108" customWidth="1"/>
    <col min="14595" max="14597" width="15.140625" style="108" customWidth="1"/>
    <col min="14598" max="14598" width="13.7109375" style="108" customWidth="1"/>
    <col min="14599" max="14599" width="16.28515625" style="108" customWidth="1"/>
    <col min="14600" max="14603" width="7.85546875" style="108"/>
    <col min="14604" max="14604" width="14.7109375" style="108" bestFit="1" customWidth="1"/>
    <col min="14605" max="14846" width="7.85546875" style="108"/>
    <col min="14847" max="14847" width="26.42578125" style="108" customWidth="1"/>
    <col min="14848" max="14848" width="12.28515625" style="108" customWidth="1"/>
    <col min="14849" max="14849" width="14.85546875" style="108" customWidth="1"/>
    <col min="14850" max="14850" width="14.42578125" style="108" customWidth="1"/>
    <col min="14851" max="14853" width="15.140625" style="108" customWidth="1"/>
    <col min="14854" max="14854" width="13.7109375" style="108" customWidth="1"/>
    <col min="14855" max="14855" width="16.28515625" style="108" customWidth="1"/>
    <col min="14856" max="14859" width="7.85546875" style="108"/>
    <col min="14860" max="14860" width="14.7109375" style="108" bestFit="1" customWidth="1"/>
    <col min="14861" max="15102" width="7.85546875" style="108"/>
    <col min="15103" max="15103" width="26.42578125" style="108" customWidth="1"/>
    <col min="15104" max="15104" width="12.28515625" style="108" customWidth="1"/>
    <col min="15105" max="15105" width="14.85546875" style="108" customWidth="1"/>
    <col min="15106" max="15106" width="14.42578125" style="108" customWidth="1"/>
    <col min="15107" max="15109" width="15.140625" style="108" customWidth="1"/>
    <col min="15110" max="15110" width="13.7109375" style="108" customWidth="1"/>
    <col min="15111" max="15111" width="16.28515625" style="108" customWidth="1"/>
    <col min="15112" max="15115" width="7.85546875" style="108"/>
    <col min="15116" max="15116" width="14.7109375" style="108" bestFit="1" customWidth="1"/>
    <col min="15117" max="15358" width="7.85546875" style="108"/>
    <col min="15359" max="15359" width="26.42578125" style="108" customWidth="1"/>
    <col min="15360" max="15360" width="12.28515625" style="108" customWidth="1"/>
    <col min="15361" max="15361" width="14.85546875" style="108" customWidth="1"/>
    <col min="15362" max="15362" width="14.42578125" style="108" customWidth="1"/>
    <col min="15363" max="15365" width="15.140625" style="108" customWidth="1"/>
    <col min="15366" max="15366" width="13.7109375" style="108" customWidth="1"/>
    <col min="15367" max="15367" width="16.28515625" style="108" customWidth="1"/>
    <col min="15368" max="15371" width="7.85546875" style="108"/>
    <col min="15372" max="15372" width="14.7109375" style="108" bestFit="1" customWidth="1"/>
    <col min="15373" max="15614" width="7.85546875" style="108"/>
    <col min="15615" max="15615" width="26.42578125" style="108" customWidth="1"/>
    <col min="15616" max="15616" width="12.28515625" style="108" customWidth="1"/>
    <col min="15617" max="15617" width="14.85546875" style="108" customWidth="1"/>
    <col min="15618" max="15618" width="14.42578125" style="108" customWidth="1"/>
    <col min="15619" max="15621" width="15.140625" style="108" customWidth="1"/>
    <col min="15622" max="15622" width="13.7109375" style="108" customWidth="1"/>
    <col min="15623" max="15623" width="16.28515625" style="108" customWidth="1"/>
    <col min="15624" max="15627" width="7.85546875" style="108"/>
    <col min="15628" max="15628" width="14.7109375" style="108" bestFit="1" customWidth="1"/>
    <col min="15629" max="15870" width="7.85546875" style="108"/>
    <col min="15871" max="15871" width="26.42578125" style="108" customWidth="1"/>
    <col min="15872" max="15872" width="12.28515625" style="108" customWidth="1"/>
    <col min="15873" max="15873" width="14.85546875" style="108" customWidth="1"/>
    <col min="15874" max="15874" width="14.42578125" style="108" customWidth="1"/>
    <col min="15875" max="15877" width="15.140625" style="108" customWidth="1"/>
    <col min="15878" max="15878" width="13.7109375" style="108" customWidth="1"/>
    <col min="15879" max="15879" width="16.28515625" style="108" customWidth="1"/>
    <col min="15880" max="15883" width="7.85546875" style="108"/>
    <col min="15884" max="15884" width="14.7109375" style="108" bestFit="1" customWidth="1"/>
    <col min="15885" max="16126" width="7.85546875" style="108"/>
    <col min="16127" max="16127" width="26.42578125" style="108" customWidth="1"/>
    <col min="16128" max="16128" width="12.28515625" style="108" customWidth="1"/>
    <col min="16129" max="16129" width="14.85546875" style="108" customWidth="1"/>
    <col min="16130" max="16130" width="14.42578125" style="108" customWidth="1"/>
    <col min="16131" max="16133" width="15.140625" style="108" customWidth="1"/>
    <col min="16134" max="16134" width="13.7109375" style="108" customWidth="1"/>
    <col min="16135" max="16135" width="16.28515625" style="108" customWidth="1"/>
    <col min="16136" max="16139" width="7.85546875" style="108"/>
    <col min="16140" max="16140" width="14.7109375" style="108" bestFit="1" customWidth="1"/>
    <col min="16141" max="16384" width="7.85546875" style="108"/>
  </cols>
  <sheetData>
    <row r="5" spans="1:12" ht="18" x14ac:dyDescent="0.25">
      <c r="A5" s="163" t="s">
        <v>112</v>
      </c>
      <c r="B5" s="163"/>
      <c r="C5" s="163"/>
      <c r="D5" s="163"/>
      <c r="E5" s="163"/>
      <c r="F5" s="163"/>
      <c r="G5" s="163"/>
      <c r="H5" s="163"/>
      <c r="I5" s="163"/>
    </row>
    <row r="6" spans="1:12" s="112" customFormat="1" ht="23.25" x14ac:dyDescent="0.35">
      <c r="A6" s="109" t="s">
        <v>0</v>
      </c>
      <c r="B6" s="110"/>
      <c r="C6" s="111"/>
      <c r="D6" s="111"/>
      <c r="E6" s="111"/>
      <c r="F6" s="111"/>
      <c r="G6" s="111"/>
      <c r="H6" s="111"/>
      <c r="I6" s="111"/>
    </row>
    <row r="7" spans="1:12" s="114" customFormat="1" ht="15.75" x14ac:dyDescent="0.25">
      <c r="A7" s="113" t="s">
        <v>113</v>
      </c>
    </row>
    <row r="8" spans="1:12" s="116" customFormat="1" ht="25.5" x14ac:dyDescent="0.2">
      <c r="A8" s="115" t="s">
        <v>3</v>
      </c>
      <c r="B8" s="115" t="s">
        <v>114</v>
      </c>
      <c r="C8" s="115" t="s">
        <v>115</v>
      </c>
      <c r="D8" s="115" t="s">
        <v>116</v>
      </c>
      <c r="E8" s="115" t="s">
        <v>117</v>
      </c>
      <c r="F8" s="115" t="s">
        <v>118</v>
      </c>
      <c r="G8" s="115" t="s">
        <v>119</v>
      </c>
      <c r="H8" s="115" t="s">
        <v>120</v>
      </c>
      <c r="I8" s="115" t="s">
        <v>121</v>
      </c>
      <c r="L8" s="116" t="s">
        <v>122</v>
      </c>
    </row>
    <row r="9" spans="1:12" customFormat="1" x14ac:dyDescent="0.25">
      <c r="A9" s="117" t="s">
        <v>123</v>
      </c>
      <c r="B9" s="118"/>
      <c r="C9" s="119"/>
      <c r="D9" s="120"/>
      <c r="E9" s="120"/>
      <c r="F9" s="120"/>
      <c r="G9" s="120"/>
      <c r="H9" s="120"/>
      <c r="I9" s="121"/>
    </row>
    <row r="10" spans="1:12" customFormat="1" x14ac:dyDescent="0.25">
      <c r="A10" s="49" t="s">
        <v>66</v>
      </c>
      <c r="B10" s="52">
        <v>1</v>
      </c>
      <c r="C10" s="123">
        <v>50.5</v>
      </c>
      <c r="D10" s="124">
        <v>11</v>
      </c>
      <c r="E10" s="125">
        <v>0</v>
      </c>
      <c r="F10" s="125">
        <f>(((C10*2.2*16)*B10)*1.7+((C10*11*9)*B10)*2)</f>
        <v>13020.92</v>
      </c>
      <c r="G10" s="125">
        <v>0</v>
      </c>
      <c r="H10" s="125">
        <f>C10*220*B10+(330*C10*B10)</f>
        <v>27775</v>
      </c>
      <c r="I10" s="126">
        <f t="shared" ref="I10" si="0">E10+F10+G10+H10</f>
        <v>40795.919999999998</v>
      </c>
      <c r="L10" s="127">
        <f t="shared" ref="L10:L22" si="1">170*C10*B10</f>
        <v>8585</v>
      </c>
    </row>
    <row r="11" spans="1:12" customFormat="1" x14ac:dyDescent="0.25">
      <c r="A11" s="49" t="s">
        <v>67</v>
      </c>
      <c r="B11" s="52">
        <v>1</v>
      </c>
      <c r="C11" s="123">
        <v>30</v>
      </c>
      <c r="D11" s="124">
        <v>11</v>
      </c>
      <c r="E11" s="125">
        <v>0</v>
      </c>
      <c r="F11" s="125">
        <f t="shared" ref="F11:F22" si="2">(((C11*2.2*16)*B11)*1.7+((C11*11*9)*B11)*2)</f>
        <v>7735.2</v>
      </c>
      <c r="G11" s="125">
        <v>0</v>
      </c>
      <c r="H11" s="125">
        <f t="shared" ref="H11" si="3">C11*220*B11+(330*C11*B11)</f>
        <v>16500</v>
      </c>
      <c r="I11" s="126">
        <f t="shared" ref="I11:I22" si="4">E11+F11+G11+H11</f>
        <v>24235.200000000001</v>
      </c>
      <c r="L11" s="127">
        <f t="shared" si="1"/>
        <v>5100</v>
      </c>
    </row>
    <row r="12" spans="1:12" customFormat="1" ht="15.75" x14ac:dyDescent="0.25">
      <c r="A12" s="49" t="s">
        <v>68</v>
      </c>
      <c r="B12" s="52">
        <v>4</v>
      </c>
      <c r="C12" s="123">
        <f>(4070.76/220)*1.04</f>
        <v>19.243592727272727</v>
      </c>
      <c r="D12" s="124" t="s">
        <v>124</v>
      </c>
      <c r="E12" s="125">
        <v>0</v>
      </c>
      <c r="F12" s="125">
        <f t="shared" si="2"/>
        <v>19847.071795199998</v>
      </c>
      <c r="G12" s="125">
        <v>0</v>
      </c>
      <c r="H12" s="125">
        <f t="shared" ref="H12:H22" si="5">C12*220*B12</f>
        <v>16934.3616</v>
      </c>
      <c r="I12" s="126">
        <f t="shared" si="4"/>
        <v>36781.433395200002</v>
      </c>
      <c r="K12" s="108"/>
      <c r="L12" s="127">
        <f t="shared" si="1"/>
        <v>13085.643054545455</v>
      </c>
    </row>
    <row r="13" spans="1:12" customFormat="1" x14ac:dyDescent="0.25">
      <c r="A13" s="49" t="s">
        <v>69</v>
      </c>
      <c r="B13" s="52">
        <v>2</v>
      </c>
      <c r="C13" s="123">
        <f>(2366.15/220)*1.04</f>
        <v>11.185436363636365</v>
      </c>
      <c r="D13" s="124" t="s">
        <v>124</v>
      </c>
      <c r="E13" s="125">
        <v>0</v>
      </c>
      <c r="F13" s="125">
        <f t="shared" si="2"/>
        <v>5768.1058240000002</v>
      </c>
      <c r="G13" s="125">
        <v>0</v>
      </c>
      <c r="H13" s="125">
        <f t="shared" si="5"/>
        <v>4921.5920000000006</v>
      </c>
      <c r="I13" s="126">
        <f t="shared" si="4"/>
        <v>10689.697824000001</v>
      </c>
      <c r="L13" s="127">
        <f t="shared" si="1"/>
        <v>3803.0483636363642</v>
      </c>
    </row>
    <row r="14" spans="1:12" customFormat="1" x14ac:dyDescent="0.25">
      <c r="A14" s="49" t="s">
        <v>70</v>
      </c>
      <c r="B14" s="52">
        <v>1</v>
      </c>
      <c r="C14" s="123">
        <f>(2002/220)*1.04</f>
        <v>9.4640000000000004</v>
      </c>
      <c r="D14" s="124">
        <v>11</v>
      </c>
      <c r="E14" s="125">
        <v>0</v>
      </c>
      <c r="F14" s="125">
        <f t="shared" si="2"/>
        <v>2440.19776</v>
      </c>
      <c r="G14" s="125">
        <v>0</v>
      </c>
      <c r="H14" s="125">
        <f t="shared" si="5"/>
        <v>2082.08</v>
      </c>
      <c r="I14" s="126">
        <f t="shared" si="4"/>
        <v>4522.2777599999999</v>
      </c>
      <c r="L14" s="127">
        <f t="shared" si="1"/>
        <v>1608.88</v>
      </c>
    </row>
    <row r="15" spans="1:12" customFormat="1" x14ac:dyDescent="0.25">
      <c r="A15" s="49" t="s">
        <v>71</v>
      </c>
      <c r="B15" s="52">
        <v>4</v>
      </c>
      <c r="C15" s="123">
        <v>33.28</v>
      </c>
      <c r="D15" s="124" t="s">
        <v>124</v>
      </c>
      <c r="E15" s="125">
        <v>0</v>
      </c>
      <c r="F15" s="125">
        <f t="shared" si="2"/>
        <v>34323.660800000005</v>
      </c>
      <c r="G15" s="125">
        <v>0</v>
      </c>
      <c r="H15" s="125">
        <f t="shared" si="5"/>
        <v>29286.400000000001</v>
      </c>
      <c r="I15" s="126">
        <f t="shared" si="4"/>
        <v>63610.060800000007</v>
      </c>
      <c r="L15" s="127">
        <f t="shared" si="1"/>
        <v>22630.400000000001</v>
      </c>
    </row>
    <row r="16" spans="1:12" customFormat="1" x14ac:dyDescent="0.25">
      <c r="A16" s="49" t="s">
        <v>72</v>
      </c>
      <c r="B16" s="52">
        <v>10</v>
      </c>
      <c r="C16" s="123">
        <v>17.68</v>
      </c>
      <c r="D16" s="124" t="s">
        <v>124</v>
      </c>
      <c r="E16" s="125">
        <v>0</v>
      </c>
      <c r="F16" s="125">
        <f t="shared" si="2"/>
        <v>45586.112000000001</v>
      </c>
      <c r="G16" s="125">
        <v>0</v>
      </c>
      <c r="H16" s="125">
        <f t="shared" si="5"/>
        <v>38896</v>
      </c>
      <c r="I16" s="126">
        <f t="shared" si="4"/>
        <v>84482.111999999994</v>
      </c>
      <c r="L16" s="127">
        <f t="shared" si="1"/>
        <v>30056</v>
      </c>
    </row>
    <row r="17" spans="1:12" customFormat="1" x14ac:dyDescent="0.25">
      <c r="A17" s="49" t="s">
        <v>136</v>
      </c>
      <c r="B17" s="52">
        <v>16</v>
      </c>
      <c r="C17" s="123">
        <f>(2133.56/220)*1.04</f>
        <v>10.085920000000002</v>
      </c>
      <c r="D17" s="124" t="s">
        <v>124</v>
      </c>
      <c r="E17" s="125"/>
      <c r="F17" s="125">
        <f t="shared" si="2"/>
        <v>41608.857804800005</v>
      </c>
      <c r="G17" s="125">
        <v>0</v>
      </c>
      <c r="H17" s="125">
        <f t="shared" si="5"/>
        <v>35502.438400000006</v>
      </c>
      <c r="I17" s="126">
        <f t="shared" si="4"/>
        <v>77111.296204800019</v>
      </c>
      <c r="L17" s="127">
        <f t="shared" si="1"/>
        <v>27433.702400000006</v>
      </c>
    </row>
    <row r="18" spans="1:12" customFormat="1" x14ac:dyDescent="0.25">
      <c r="A18" s="49" t="s">
        <v>73</v>
      </c>
      <c r="B18" s="52">
        <v>90</v>
      </c>
      <c r="C18" s="123">
        <f>(2133.56/220)*1.04</f>
        <v>10.085920000000002</v>
      </c>
      <c r="D18" s="124" t="s">
        <v>124</v>
      </c>
      <c r="E18" s="125">
        <v>0</v>
      </c>
      <c r="F18" s="125">
        <f t="shared" si="2"/>
        <v>234049.82515200006</v>
      </c>
      <c r="G18" s="125">
        <v>0</v>
      </c>
      <c r="H18" s="125">
        <f t="shared" si="5"/>
        <v>199701.21600000004</v>
      </c>
      <c r="I18" s="126">
        <f t="shared" si="4"/>
        <v>433751.04115200008</v>
      </c>
      <c r="L18" s="127">
        <f t="shared" si="1"/>
        <v>154314.57600000003</v>
      </c>
    </row>
    <row r="19" spans="1:12" customFormat="1" x14ac:dyDescent="0.25">
      <c r="A19" s="49" t="s">
        <v>74</v>
      </c>
      <c r="B19" s="52">
        <v>120</v>
      </c>
      <c r="C19" s="123">
        <f>(1114.48/220)*1.04</f>
        <v>5.2684509090909097</v>
      </c>
      <c r="D19" s="124" t="s">
        <v>124</v>
      </c>
      <c r="E19" s="125">
        <v>0</v>
      </c>
      <c r="F19" s="125">
        <f t="shared" si="2"/>
        <v>163010.085888</v>
      </c>
      <c r="G19" s="125">
        <v>0</v>
      </c>
      <c r="H19" s="125">
        <f t="shared" si="5"/>
        <v>139087.10400000002</v>
      </c>
      <c r="I19" s="126">
        <f t="shared" si="4"/>
        <v>302097.18988800002</v>
      </c>
      <c r="L19" s="127">
        <f t="shared" si="1"/>
        <v>107476.39854545456</v>
      </c>
    </row>
    <row r="20" spans="1:12" customFormat="1" x14ac:dyDescent="0.25">
      <c r="A20" s="49" t="s">
        <v>75</v>
      </c>
      <c r="B20" s="52">
        <v>20</v>
      </c>
      <c r="C20" s="123">
        <f>(1913.15/220)*1.04</f>
        <v>9.0439818181818197</v>
      </c>
      <c r="D20" s="124" t="s">
        <v>124</v>
      </c>
      <c r="E20" s="125">
        <v>0</v>
      </c>
      <c r="F20" s="125">
        <f t="shared" si="2"/>
        <v>46638.005440000008</v>
      </c>
      <c r="G20" s="125">
        <v>0</v>
      </c>
      <c r="H20" s="125">
        <f t="shared" si="5"/>
        <v>39793.520000000004</v>
      </c>
      <c r="I20" s="126">
        <f t="shared" si="4"/>
        <v>86431.525440000012</v>
      </c>
      <c r="L20" s="127">
        <f t="shared" si="1"/>
        <v>30749.538181818189</v>
      </c>
    </row>
    <row r="21" spans="1:12" customFormat="1" x14ac:dyDescent="0.25">
      <c r="A21" s="49" t="s">
        <v>76</v>
      </c>
      <c r="B21" s="52">
        <v>10</v>
      </c>
      <c r="C21" s="123">
        <f>(2002/220)*1.04</f>
        <v>9.4640000000000004</v>
      </c>
      <c r="D21" s="124" t="s">
        <v>124</v>
      </c>
      <c r="E21" s="125">
        <v>0</v>
      </c>
      <c r="F21" s="125">
        <f t="shared" si="2"/>
        <v>24401.977600000002</v>
      </c>
      <c r="G21" s="125">
        <v>0</v>
      </c>
      <c r="H21" s="125">
        <f t="shared" si="5"/>
        <v>20820.8</v>
      </c>
      <c r="I21" s="126">
        <f t="shared" si="4"/>
        <v>45222.777600000001</v>
      </c>
      <c r="L21" s="127">
        <f t="shared" si="1"/>
        <v>16088.800000000001</v>
      </c>
    </row>
    <row r="22" spans="1:12" customFormat="1" x14ac:dyDescent="0.25">
      <c r="A22" s="49" t="s">
        <v>77</v>
      </c>
      <c r="B22" s="52">
        <v>9</v>
      </c>
      <c r="C22" s="123">
        <f>(2002/220)*1.04</f>
        <v>9.4640000000000004</v>
      </c>
      <c r="D22" s="124" t="s">
        <v>124</v>
      </c>
      <c r="E22" s="125">
        <v>0</v>
      </c>
      <c r="F22" s="125">
        <f t="shared" si="2"/>
        <v>21961.779840000003</v>
      </c>
      <c r="G22" s="125">
        <v>0</v>
      </c>
      <c r="H22" s="125">
        <f t="shared" si="5"/>
        <v>18738.72</v>
      </c>
      <c r="I22" s="126">
        <f t="shared" si="4"/>
        <v>40700.499840000004</v>
      </c>
      <c r="L22" s="127">
        <f t="shared" si="1"/>
        <v>14479.920000000002</v>
      </c>
    </row>
    <row r="23" spans="1:12" customFormat="1" x14ac:dyDescent="0.25">
      <c r="A23" s="129"/>
      <c r="B23" s="122"/>
      <c r="C23" s="130"/>
      <c r="D23" s="124"/>
      <c r="E23" s="124"/>
      <c r="F23" s="124"/>
      <c r="G23" s="124"/>
      <c r="H23" s="131"/>
      <c r="I23" s="132"/>
      <c r="L23" s="157">
        <f>SUM(L10:L22)</f>
        <v>435411.90654545458</v>
      </c>
    </row>
    <row r="24" spans="1:12" customFormat="1" x14ac:dyDescent="0.25">
      <c r="A24" s="128"/>
      <c r="B24" s="134"/>
      <c r="C24" s="130"/>
      <c r="D24" s="124"/>
      <c r="E24" s="124"/>
      <c r="F24" s="124"/>
      <c r="G24" s="124"/>
      <c r="H24" s="124"/>
      <c r="I24" s="135"/>
      <c r="L24" s="133">
        <f>L23*1.2</f>
        <v>522494.28785454546</v>
      </c>
    </row>
    <row r="25" spans="1:12" customFormat="1" x14ac:dyDescent="0.25">
      <c r="A25" s="136"/>
      <c r="B25" s="137"/>
      <c r="C25" s="130"/>
      <c r="D25" s="124"/>
      <c r="E25" s="138"/>
      <c r="F25" s="138"/>
      <c r="G25" s="138"/>
      <c r="H25" s="131"/>
      <c r="I25" s="132"/>
    </row>
    <row r="26" spans="1:12" customFormat="1" x14ac:dyDescent="0.25">
      <c r="A26" s="139" t="s">
        <v>125</v>
      </c>
      <c r="B26" s="140"/>
      <c r="C26" s="141"/>
      <c r="D26" s="142"/>
      <c r="E26" s="142"/>
      <c r="F26" s="142"/>
      <c r="G26" s="142"/>
      <c r="H26" s="142"/>
      <c r="I26" s="143"/>
    </row>
    <row r="27" spans="1:12" s="114" customFormat="1" x14ac:dyDescent="0.2">
      <c r="C27" s="144"/>
      <c r="D27" s="164" t="s">
        <v>126</v>
      </c>
      <c r="E27" s="165"/>
      <c r="F27" s="165"/>
      <c r="G27" s="165"/>
      <c r="H27" s="166"/>
      <c r="I27" s="145">
        <f>SUM(I10:I25)</f>
        <v>1250431.0319039999</v>
      </c>
    </row>
    <row r="28" spans="1:12" s="114" customFormat="1" ht="12.75" x14ac:dyDescent="0.2"/>
    <row r="29" spans="1:12" s="114" customFormat="1" ht="12.75" x14ac:dyDescent="0.2"/>
    <row r="30" spans="1:12" s="114" customFormat="1" x14ac:dyDescent="0.2">
      <c r="A30" s="146"/>
      <c r="B30" s="147" t="s">
        <v>127</v>
      </c>
      <c r="C30" s="147" t="s">
        <v>128</v>
      </c>
      <c r="D30" s="148" t="s">
        <v>129</v>
      </c>
      <c r="E30" s="148" t="s">
        <v>130</v>
      </c>
      <c r="F30" s="148" t="s">
        <v>131</v>
      </c>
      <c r="G30" s="148" t="s">
        <v>132</v>
      </c>
    </row>
    <row r="31" spans="1:12" s="114" customFormat="1" ht="12.75" x14ac:dyDescent="0.2">
      <c r="A31" s="49" t="s">
        <v>66</v>
      </c>
      <c r="B31" s="52">
        <v>1</v>
      </c>
      <c r="C31" s="149">
        <v>25</v>
      </c>
      <c r="D31" s="148">
        <v>5.4</v>
      </c>
      <c r="E31" s="148">
        <v>12.96</v>
      </c>
      <c r="F31" s="150">
        <v>10</v>
      </c>
      <c r="G31" s="151">
        <f>(B31*C31*(D31+E31+F31))+(33*(D31+E31))</f>
        <v>1314.88</v>
      </c>
      <c r="H31" s="161" t="s">
        <v>133</v>
      </c>
    </row>
    <row r="32" spans="1:12" s="114" customFormat="1" ht="12.75" x14ac:dyDescent="0.2">
      <c r="A32" s="49" t="s">
        <v>67</v>
      </c>
      <c r="B32" s="52">
        <v>1</v>
      </c>
      <c r="C32" s="149">
        <v>25</v>
      </c>
      <c r="D32" s="148">
        <v>5.4</v>
      </c>
      <c r="E32" s="148">
        <v>12.96</v>
      </c>
      <c r="F32" s="150">
        <v>10</v>
      </c>
      <c r="G32" s="151">
        <f>(B32*C32*(D32+E32+F32))+(33*(D32+E32))</f>
        <v>1314.88</v>
      </c>
      <c r="H32" s="161"/>
    </row>
    <row r="33" spans="1:8" s="114" customFormat="1" ht="12.75" x14ac:dyDescent="0.2">
      <c r="A33" s="49" t="s">
        <v>68</v>
      </c>
      <c r="B33" s="52">
        <v>2</v>
      </c>
      <c r="C33" s="149">
        <v>25</v>
      </c>
      <c r="D33" s="148">
        <v>5.4</v>
      </c>
      <c r="E33" s="148">
        <v>12.96</v>
      </c>
      <c r="F33" s="150">
        <v>10</v>
      </c>
      <c r="G33" s="151">
        <f>(B33*C33*(D33+E33+F33))</f>
        <v>1418</v>
      </c>
      <c r="H33" s="161"/>
    </row>
    <row r="34" spans="1:8" s="114" customFormat="1" ht="12.75" x14ac:dyDescent="0.2">
      <c r="A34" s="49" t="s">
        <v>69</v>
      </c>
      <c r="B34" s="52">
        <v>1</v>
      </c>
      <c r="C34" s="149">
        <v>25</v>
      </c>
      <c r="D34" s="148">
        <v>5.4</v>
      </c>
      <c r="E34" s="148">
        <v>12.96</v>
      </c>
      <c r="F34" s="150">
        <v>10</v>
      </c>
      <c r="G34" s="151">
        <f>(B34*C34*(D34+E34+F34))</f>
        <v>709</v>
      </c>
      <c r="H34" s="161"/>
    </row>
    <row r="35" spans="1:8" s="114" customFormat="1" ht="12.75" x14ac:dyDescent="0.2">
      <c r="A35" s="49" t="s">
        <v>70</v>
      </c>
      <c r="B35" s="52">
        <v>1</v>
      </c>
      <c r="C35" s="149">
        <v>25</v>
      </c>
      <c r="D35" s="148">
        <v>5.4</v>
      </c>
      <c r="E35" s="148">
        <v>12.96</v>
      </c>
      <c r="F35" s="150">
        <v>10</v>
      </c>
      <c r="G35" s="151">
        <f>(B35*C35*(D35+E35+F35))</f>
        <v>709</v>
      </c>
      <c r="H35" s="161"/>
    </row>
    <row r="36" spans="1:8" s="114" customFormat="1" ht="12.75" x14ac:dyDescent="0.2">
      <c r="A36" s="49" t="s">
        <v>71</v>
      </c>
      <c r="B36" s="52">
        <v>2</v>
      </c>
      <c r="C36" s="149">
        <v>25</v>
      </c>
      <c r="D36" s="148">
        <v>5.4</v>
      </c>
      <c r="E36" s="148">
        <v>12.96</v>
      </c>
      <c r="F36" s="150">
        <v>10</v>
      </c>
      <c r="G36" s="151">
        <f>(B36*C36*(D36+E36+F36))</f>
        <v>1418</v>
      </c>
      <c r="H36" s="161"/>
    </row>
    <row r="37" spans="1:8" s="114" customFormat="1" ht="12.75" x14ac:dyDescent="0.2">
      <c r="A37" s="49" t="s">
        <v>72</v>
      </c>
      <c r="B37" s="52">
        <v>5</v>
      </c>
      <c r="C37" s="149">
        <v>25</v>
      </c>
      <c r="D37" s="148">
        <v>5.4</v>
      </c>
      <c r="E37" s="148">
        <v>12.96</v>
      </c>
      <c r="F37" s="150">
        <v>10</v>
      </c>
      <c r="G37" s="151">
        <f>(B37*C37*(D37+E37+F37))</f>
        <v>3545</v>
      </c>
      <c r="H37" s="161"/>
    </row>
    <row r="38" spans="1:8" s="114" customFormat="1" ht="12.75" x14ac:dyDescent="0.2">
      <c r="A38" s="49" t="s">
        <v>136</v>
      </c>
      <c r="B38" s="52">
        <v>8</v>
      </c>
      <c r="C38" s="149">
        <v>25</v>
      </c>
      <c r="D38" s="148">
        <v>5.4</v>
      </c>
      <c r="E38" s="148">
        <v>12.96</v>
      </c>
      <c r="F38" s="150">
        <v>10</v>
      </c>
      <c r="G38" s="151">
        <f t="shared" ref="G38:G42" si="6">(B38*C38*(D38+E38+F38))</f>
        <v>5672</v>
      </c>
      <c r="H38" s="161"/>
    </row>
    <row r="39" spans="1:8" s="114" customFormat="1" ht="12.75" x14ac:dyDescent="0.2">
      <c r="A39" s="49" t="s">
        <v>73</v>
      </c>
      <c r="B39" s="52">
        <v>45</v>
      </c>
      <c r="C39" s="149">
        <v>25</v>
      </c>
      <c r="D39" s="148">
        <v>5.4</v>
      </c>
      <c r="E39" s="148">
        <v>12.96</v>
      </c>
      <c r="F39" s="150">
        <v>10</v>
      </c>
      <c r="G39" s="151">
        <f t="shared" si="6"/>
        <v>31905</v>
      </c>
      <c r="H39" s="161"/>
    </row>
    <row r="40" spans="1:8" s="114" customFormat="1" ht="12.75" x14ac:dyDescent="0.2">
      <c r="A40" s="49" t="s">
        <v>74</v>
      </c>
      <c r="B40" s="52">
        <v>60</v>
      </c>
      <c r="C40" s="149">
        <v>25</v>
      </c>
      <c r="D40" s="148">
        <v>5.4</v>
      </c>
      <c r="E40" s="148">
        <v>12.96</v>
      </c>
      <c r="F40" s="150">
        <v>10</v>
      </c>
      <c r="G40" s="151">
        <f t="shared" si="6"/>
        <v>42540</v>
      </c>
      <c r="H40" s="161"/>
    </row>
    <row r="41" spans="1:8" s="114" customFormat="1" ht="12.75" x14ac:dyDescent="0.2">
      <c r="A41" s="49" t="s">
        <v>75</v>
      </c>
      <c r="B41" s="52">
        <v>10</v>
      </c>
      <c r="C41" s="149">
        <v>25</v>
      </c>
      <c r="D41" s="148">
        <v>5.4</v>
      </c>
      <c r="E41" s="148">
        <v>12.96</v>
      </c>
      <c r="F41" s="150">
        <v>10</v>
      </c>
      <c r="G41" s="151">
        <f t="shared" si="6"/>
        <v>7090</v>
      </c>
      <c r="H41" s="161"/>
    </row>
    <row r="42" spans="1:8" s="114" customFormat="1" ht="12.75" x14ac:dyDescent="0.2">
      <c r="A42" s="49" t="s">
        <v>76</v>
      </c>
      <c r="B42" s="52">
        <v>5</v>
      </c>
      <c r="C42" s="149">
        <v>25</v>
      </c>
      <c r="D42" s="148">
        <v>5.4</v>
      </c>
      <c r="E42" s="148">
        <v>12.96</v>
      </c>
      <c r="F42" s="150">
        <v>10</v>
      </c>
      <c r="G42" s="151">
        <f t="shared" si="6"/>
        <v>3545</v>
      </c>
      <c r="H42" s="161"/>
    </row>
    <row r="43" spans="1:8" s="114" customFormat="1" ht="12.75" x14ac:dyDescent="0.2">
      <c r="A43" s="49" t="s">
        <v>77</v>
      </c>
      <c r="B43" s="52">
        <v>5</v>
      </c>
      <c r="C43" s="149">
        <v>25</v>
      </c>
      <c r="D43" s="148">
        <v>5.4</v>
      </c>
      <c r="E43" s="148">
        <v>12.96</v>
      </c>
      <c r="F43" s="150">
        <v>10</v>
      </c>
      <c r="G43" s="151">
        <f t="shared" ref="G43" si="7">(B43*C43*(D43+E43+F43))</f>
        <v>3545</v>
      </c>
      <c r="H43" s="154"/>
    </row>
    <row r="44" spans="1:8" s="114" customFormat="1" ht="12.75" x14ac:dyDescent="0.2">
      <c r="G44" s="152">
        <f>SUM(G31:G43)</f>
        <v>104725.76000000001</v>
      </c>
    </row>
    <row r="45" spans="1:8" x14ac:dyDescent="0.2">
      <c r="A45" s="146"/>
      <c r="B45" s="147" t="s">
        <v>127</v>
      </c>
      <c r="C45" s="147" t="s">
        <v>128</v>
      </c>
      <c r="D45" s="148" t="s">
        <v>131</v>
      </c>
      <c r="E45" s="148" t="s">
        <v>134</v>
      </c>
      <c r="F45" s="148" t="s">
        <v>131</v>
      </c>
      <c r="G45" s="148" t="s">
        <v>132</v>
      </c>
    </row>
    <row r="46" spans="1:8" x14ac:dyDescent="0.2">
      <c r="A46" s="49" t="s">
        <v>66</v>
      </c>
      <c r="B46" s="52">
        <v>1</v>
      </c>
      <c r="C46" s="149">
        <v>25</v>
      </c>
      <c r="D46" s="150">
        <v>10</v>
      </c>
      <c r="E46" s="148">
        <v>12.96</v>
      </c>
      <c r="F46" s="150">
        <v>10</v>
      </c>
      <c r="G46" s="151">
        <f>(B46*C46*(D46+E46+F46))</f>
        <v>824</v>
      </c>
      <c r="H46" s="162" t="s">
        <v>135</v>
      </c>
    </row>
    <row r="47" spans="1:8" x14ac:dyDescent="0.2">
      <c r="A47" s="49" t="s">
        <v>67</v>
      </c>
      <c r="B47" s="52">
        <v>1</v>
      </c>
      <c r="C47" s="149">
        <v>25</v>
      </c>
      <c r="D47" s="150">
        <v>10</v>
      </c>
      <c r="E47" s="148">
        <v>12.96</v>
      </c>
      <c r="F47" s="150">
        <v>10</v>
      </c>
      <c r="G47" s="151">
        <f t="shared" ref="G47:G58" si="8">(B47*C47*(D47+E47+F47))</f>
        <v>824</v>
      </c>
      <c r="H47" s="162"/>
    </row>
    <row r="48" spans="1:8" x14ac:dyDescent="0.2">
      <c r="A48" s="49" t="s">
        <v>68</v>
      </c>
      <c r="B48" s="52">
        <v>2</v>
      </c>
      <c r="C48" s="149">
        <v>25</v>
      </c>
      <c r="D48" s="150">
        <v>10</v>
      </c>
      <c r="E48" s="148">
        <v>12.96</v>
      </c>
      <c r="F48" s="150">
        <v>10</v>
      </c>
      <c r="G48" s="151">
        <f t="shared" si="8"/>
        <v>1648</v>
      </c>
      <c r="H48" s="162"/>
    </row>
    <row r="49" spans="1:8" x14ac:dyDescent="0.2">
      <c r="A49" s="49" t="s">
        <v>69</v>
      </c>
      <c r="B49" s="52">
        <v>1</v>
      </c>
      <c r="C49" s="149">
        <v>25</v>
      </c>
      <c r="D49" s="150">
        <v>10</v>
      </c>
      <c r="E49" s="148">
        <v>12.96</v>
      </c>
      <c r="F49" s="150">
        <v>10</v>
      </c>
      <c r="G49" s="151">
        <f t="shared" si="8"/>
        <v>824</v>
      </c>
      <c r="H49" s="162"/>
    </row>
    <row r="50" spans="1:8" x14ac:dyDescent="0.2">
      <c r="A50" s="49" t="s">
        <v>70</v>
      </c>
      <c r="B50" s="52">
        <v>1</v>
      </c>
      <c r="C50" s="149">
        <v>25</v>
      </c>
      <c r="D50" s="150">
        <v>10</v>
      </c>
      <c r="E50" s="148">
        <v>12.96</v>
      </c>
      <c r="F50" s="150">
        <v>10</v>
      </c>
      <c r="G50" s="151">
        <f t="shared" si="8"/>
        <v>824</v>
      </c>
      <c r="H50" s="162"/>
    </row>
    <row r="51" spans="1:8" x14ac:dyDescent="0.2">
      <c r="A51" s="49" t="s">
        <v>71</v>
      </c>
      <c r="B51" s="52">
        <v>2</v>
      </c>
      <c r="C51" s="149">
        <v>25</v>
      </c>
      <c r="D51" s="150">
        <v>10</v>
      </c>
      <c r="E51" s="148">
        <v>12.96</v>
      </c>
      <c r="F51" s="150">
        <v>10</v>
      </c>
      <c r="G51" s="151">
        <f t="shared" si="8"/>
        <v>1648</v>
      </c>
      <c r="H51" s="162"/>
    </row>
    <row r="52" spans="1:8" x14ac:dyDescent="0.2">
      <c r="A52" s="49" t="s">
        <v>72</v>
      </c>
      <c r="B52" s="52">
        <v>5</v>
      </c>
      <c r="C52" s="149">
        <v>25</v>
      </c>
      <c r="D52" s="150">
        <v>10</v>
      </c>
      <c r="E52" s="148">
        <v>12.96</v>
      </c>
      <c r="F52" s="150">
        <v>10</v>
      </c>
      <c r="G52" s="151">
        <f t="shared" si="8"/>
        <v>4120</v>
      </c>
      <c r="H52" s="162"/>
    </row>
    <row r="53" spans="1:8" x14ac:dyDescent="0.2">
      <c r="A53" s="49" t="s">
        <v>136</v>
      </c>
      <c r="B53" s="52">
        <v>8</v>
      </c>
      <c r="C53" s="149">
        <v>25</v>
      </c>
      <c r="D53" s="150">
        <v>10</v>
      </c>
      <c r="E53" s="148">
        <v>12.96</v>
      </c>
      <c r="F53" s="150">
        <v>10</v>
      </c>
      <c r="G53" s="151">
        <f t="shared" si="8"/>
        <v>6592</v>
      </c>
      <c r="H53" s="155"/>
    </row>
    <row r="54" spans="1:8" x14ac:dyDescent="0.2">
      <c r="A54" s="49" t="s">
        <v>73</v>
      </c>
      <c r="B54" s="52">
        <v>45</v>
      </c>
      <c r="C54" s="149">
        <v>25</v>
      </c>
      <c r="D54" s="150">
        <v>10</v>
      </c>
      <c r="E54" s="148">
        <v>12.96</v>
      </c>
      <c r="F54" s="150">
        <v>10</v>
      </c>
      <c r="G54" s="151">
        <f t="shared" si="8"/>
        <v>37080</v>
      </c>
      <c r="H54" s="155"/>
    </row>
    <row r="55" spans="1:8" x14ac:dyDescent="0.2">
      <c r="A55" s="49" t="s">
        <v>74</v>
      </c>
      <c r="B55" s="52">
        <v>60</v>
      </c>
      <c r="C55" s="149">
        <v>25</v>
      </c>
      <c r="D55" s="150">
        <v>10</v>
      </c>
      <c r="E55" s="148">
        <v>12.96</v>
      </c>
      <c r="F55" s="150">
        <v>10</v>
      </c>
      <c r="G55" s="151">
        <f t="shared" si="8"/>
        <v>49440</v>
      </c>
      <c r="H55" s="155"/>
    </row>
    <row r="56" spans="1:8" x14ac:dyDescent="0.2">
      <c r="A56" s="49" t="s">
        <v>75</v>
      </c>
      <c r="B56" s="52">
        <v>10</v>
      </c>
      <c r="C56" s="149">
        <v>25</v>
      </c>
      <c r="D56" s="150">
        <v>10</v>
      </c>
      <c r="E56" s="148">
        <v>12.96</v>
      </c>
      <c r="F56" s="150">
        <v>10</v>
      </c>
      <c r="G56" s="151">
        <f t="shared" si="8"/>
        <v>8240</v>
      </c>
      <c r="H56" s="155"/>
    </row>
    <row r="57" spans="1:8" x14ac:dyDescent="0.2">
      <c r="A57" s="49" t="s">
        <v>76</v>
      </c>
      <c r="B57" s="52">
        <v>5</v>
      </c>
      <c r="C57" s="149">
        <v>25</v>
      </c>
      <c r="D57" s="150">
        <v>10</v>
      </c>
      <c r="E57" s="148">
        <v>12.96</v>
      </c>
      <c r="F57" s="150">
        <v>10</v>
      </c>
      <c r="G57" s="151">
        <f t="shared" si="8"/>
        <v>4120</v>
      </c>
      <c r="H57" s="155"/>
    </row>
    <row r="58" spans="1:8" x14ac:dyDescent="0.2">
      <c r="A58" s="49" t="s">
        <v>77</v>
      </c>
      <c r="B58" s="52">
        <v>4</v>
      </c>
      <c r="C58" s="149">
        <v>25</v>
      </c>
      <c r="D58" s="150">
        <v>10</v>
      </c>
      <c r="E58" s="148">
        <v>12.96</v>
      </c>
      <c r="F58" s="150">
        <v>10</v>
      </c>
      <c r="G58" s="151">
        <f t="shared" si="8"/>
        <v>3296</v>
      </c>
      <c r="H58" s="155"/>
    </row>
    <row r="59" spans="1:8" x14ac:dyDescent="0.2">
      <c r="G59" s="152">
        <f>SUM(G46:G58)</f>
        <v>119480</v>
      </c>
    </row>
    <row r="61" spans="1:8" x14ac:dyDescent="0.2">
      <c r="G61" s="156">
        <f>G44+G59</f>
        <v>224205.76</v>
      </c>
    </row>
    <row r="63" spans="1:8" x14ac:dyDescent="0.2">
      <c r="G63" s="153">
        <f>G61*1.2</f>
        <v>269046.91200000001</v>
      </c>
    </row>
  </sheetData>
  <mergeCells count="4">
    <mergeCell ref="H31:H42"/>
    <mergeCell ref="H46:H52"/>
    <mergeCell ref="A5:I5"/>
    <mergeCell ref="D27:H27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DFP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2018-01-19T22:59:38Z</dcterms:modified>
</cp:coreProperties>
</file>