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o\Desktop\PARANAPANEMA\PC 869-L18 -PACOTE\PC 869 L 18 - REV 02\"/>
    </mc:Choice>
  </mc:AlternateContent>
  <bookViews>
    <workbookView xWindow="0" yWindow="0" windowWidth="20490" windowHeight="7530" firstSheet="2" activeTab="4" xr2:uid="{00000000-000D-0000-FFFF-FFFF00000000}"/>
  </bookViews>
  <sheets>
    <sheet name="DFP CATAÇÃO" sheetId="5" r:id="rId1"/>
    <sheet name=" ALIMENTAÇÃO  CATAÇÃO" sheetId="6" r:id="rId2"/>
    <sheet name="MOD MOI OPÇAO 1 REV 01" sheetId="3" r:id="rId3"/>
    <sheet name="PREMIO + ALIMEN OPÇAO 1 REV 01" sheetId="15" r:id="rId4"/>
    <sheet name="DFP_869 L 18 OPÇÃO 1 REV 01" sheetId="14" r:id="rId5"/>
  </sheets>
  <definedNames>
    <definedName name="_xlnm.Print_Area" localSheetId="0">'DFP CATAÇÃO'!$A$1:$G$100</definedName>
    <definedName name="_xlnm.Print_Area" localSheetId="4">'DFP_869 L 18 OPÇÃO 1 REV 01'!$A$1:$G$149</definedName>
  </definedNames>
  <calcPr calcId="162913"/>
</workbook>
</file>

<file path=xl/calcChain.xml><?xml version="1.0" encoding="utf-8"?>
<calcChain xmlns="http://schemas.openxmlformats.org/spreadsheetml/2006/main">
  <c r="D111" i="14" l="1"/>
  <c r="C111" i="14"/>
  <c r="D112" i="14"/>
  <c r="G77" i="15"/>
  <c r="G76" i="15"/>
  <c r="G75" i="15"/>
  <c r="G74" i="15"/>
  <c r="G73" i="15"/>
  <c r="G72" i="15"/>
  <c r="G71" i="15"/>
  <c r="G70" i="15"/>
  <c r="G69" i="15"/>
  <c r="G68" i="15"/>
  <c r="G65" i="15"/>
  <c r="G64" i="15"/>
  <c r="G63" i="15"/>
  <c r="G62" i="15"/>
  <c r="G61" i="15"/>
  <c r="G60" i="15"/>
  <c r="G59" i="15"/>
  <c r="G58" i="15"/>
  <c r="G57" i="15"/>
  <c r="G56" i="15"/>
  <c r="G55" i="15"/>
  <c r="G54" i="15"/>
  <c r="C22" i="15"/>
  <c r="G22" i="15" s="1"/>
  <c r="C21" i="15"/>
  <c r="H21" i="15" s="1"/>
  <c r="C20" i="15"/>
  <c r="G20" i="15" s="1"/>
  <c r="C19" i="15"/>
  <c r="H19" i="15" s="1"/>
  <c r="C18" i="15"/>
  <c r="G18" i="15" s="1"/>
  <c r="L17" i="15"/>
  <c r="L16" i="15"/>
  <c r="H16" i="15"/>
  <c r="G16" i="15"/>
  <c r="F16" i="15"/>
  <c r="L15" i="15"/>
  <c r="H15" i="15"/>
  <c r="G15" i="15"/>
  <c r="F15" i="15"/>
  <c r="C14" i="15"/>
  <c r="L14" i="15" s="1"/>
  <c r="C13" i="15"/>
  <c r="H13" i="15" s="1"/>
  <c r="C12" i="15"/>
  <c r="L12" i="15" s="1"/>
  <c r="C11" i="15"/>
  <c r="H11" i="15" s="1"/>
  <c r="L10" i="15"/>
  <c r="H10" i="15"/>
  <c r="F10" i="15"/>
  <c r="I10" i="15" s="1"/>
  <c r="C68" i="14"/>
  <c r="D68" i="14" s="1"/>
  <c r="C66" i="14"/>
  <c r="D66" i="14" s="1"/>
  <c r="C65" i="14"/>
  <c r="D65" i="14" s="1"/>
  <c r="B123" i="14"/>
  <c r="D110" i="14"/>
  <c r="D113" i="14" s="1"/>
  <c r="E125" i="14" s="1"/>
  <c r="B103" i="14"/>
  <c r="C71" i="14"/>
  <c r="D71" i="14" s="1"/>
  <c r="C70" i="14"/>
  <c r="D70" i="14" s="1"/>
  <c r="D69" i="14"/>
  <c r="D67" i="14"/>
  <c r="C67" i="14"/>
  <c r="C64" i="14"/>
  <c r="D64" i="14" s="1"/>
  <c r="D63" i="14"/>
  <c r="C62" i="14"/>
  <c r="D62" i="14" s="1"/>
  <c r="D61" i="14"/>
  <c r="D57" i="14"/>
  <c r="D56" i="14"/>
  <c r="D55" i="14"/>
  <c r="D54" i="14"/>
  <c r="D50" i="14"/>
  <c r="D49" i="14"/>
  <c r="D48" i="14"/>
  <c r="D47" i="14"/>
  <c r="D46" i="14"/>
  <c r="D45" i="14"/>
  <c r="C44" i="14"/>
  <c r="D44" i="14" s="1"/>
  <c r="D43" i="14"/>
  <c r="D42" i="14"/>
  <c r="C41" i="14"/>
  <c r="D41" i="14" s="1"/>
  <c r="D40" i="14"/>
  <c r="C39" i="14"/>
  <c r="D39" i="14" s="1"/>
  <c r="C38" i="14"/>
  <c r="D38" i="14" s="1"/>
  <c r="C37" i="14"/>
  <c r="D37" i="14" s="1"/>
  <c r="D36" i="14"/>
  <c r="D35" i="14"/>
  <c r="D34" i="14"/>
  <c r="E20" i="14"/>
  <c r="E21" i="14" s="1"/>
  <c r="C19" i="14"/>
  <c r="C18" i="14"/>
  <c r="C17" i="14"/>
  <c r="C16" i="14"/>
  <c r="C15" i="14"/>
  <c r="C14" i="14"/>
  <c r="C13" i="14"/>
  <c r="C12" i="14"/>
  <c r="C11" i="14"/>
  <c r="C10" i="14"/>
  <c r="C9" i="14"/>
  <c r="C8" i="14"/>
  <c r="G78" i="15" l="1"/>
  <c r="F14" i="15"/>
  <c r="G14" i="15"/>
  <c r="I14" i="15" s="1"/>
  <c r="H20" i="15"/>
  <c r="H14" i="15"/>
  <c r="F19" i="15"/>
  <c r="I16" i="15"/>
  <c r="G19" i="15"/>
  <c r="F12" i="15"/>
  <c r="G12" i="15"/>
  <c r="H18" i="15"/>
  <c r="L19" i="15"/>
  <c r="F21" i="15"/>
  <c r="H22" i="15"/>
  <c r="H12" i="15"/>
  <c r="I15" i="15"/>
  <c r="G21" i="15"/>
  <c r="L21" i="15"/>
  <c r="G66" i="15"/>
  <c r="G80" i="15" s="1"/>
  <c r="L11" i="15"/>
  <c r="F13" i="15"/>
  <c r="L13" i="15"/>
  <c r="F11" i="15"/>
  <c r="I11" i="15" s="1"/>
  <c r="G13" i="15"/>
  <c r="F18" i="15"/>
  <c r="L18" i="15"/>
  <c r="F20" i="15"/>
  <c r="L20" i="15"/>
  <c r="F22" i="15"/>
  <c r="L22" i="15"/>
  <c r="D51" i="14"/>
  <c r="D72" i="14"/>
  <c r="D58" i="14"/>
  <c r="E22" i="14"/>
  <c r="E24" i="14" s="1"/>
  <c r="I22" i="15" l="1"/>
  <c r="I18" i="15"/>
  <c r="I19" i="15"/>
  <c r="I20" i="15"/>
  <c r="I21" i="15"/>
  <c r="I13" i="15"/>
  <c r="L23" i="15"/>
  <c r="I12" i="15"/>
  <c r="I27" i="15" s="1"/>
  <c r="C29" i="14"/>
  <c r="E31" i="14" s="1"/>
  <c r="E74" i="14" s="1"/>
  <c r="C42" i="15" l="1"/>
  <c r="C32" i="15"/>
  <c r="C46" i="15" s="1"/>
  <c r="C37" i="15"/>
  <c r="C31" i="15"/>
  <c r="C48" i="15" s="1"/>
  <c r="H50" i="15" s="1"/>
  <c r="C36" i="15"/>
  <c r="C38" i="15"/>
  <c r="C35" i="15"/>
  <c r="C80" i="14"/>
  <c r="D80" i="14" s="1"/>
  <c r="C78" i="14"/>
  <c r="D78" i="14" s="1"/>
  <c r="C79" i="14"/>
  <c r="D79" i="14" s="1"/>
  <c r="D82" i="14" l="1"/>
  <c r="C87" i="14" l="1"/>
  <c r="D87" i="14" s="1"/>
  <c r="D90" i="14" s="1"/>
  <c r="E94" i="14" s="1"/>
  <c r="E105" i="14" s="1"/>
  <c r="E127" i="14" s="1"/>
  <c r="C42" i="5" l="1"/>
  <c r="D42" i="5" s="1"/>
  <c r="C40" i="5"/>
  <c r="D40" i="5" s="1"/>
  <c r="C8" i="5"/>
  <c r="C9" i="5"/>
  <c r="C10" i="5"/>
  <c r="C13" i="6"/>
  <c r="C12" i="6"/>
  <c r="G47" i="6"/>
  <c r="G46" i="6"/>
  <c r="G45" i="6"/>
  <c r="H10" i="6"/>
  <c r="B75" i="5"/>
  <c r="I73" i="5"/>
  <c r="D43" i="5"/>
  <c r="C41" i="5"/>
  <c r="D41" i="5" s="1"/>
  <c r="C39" i="5"/>
  <c r="D39" i="5" s="1"/>
  <c r="D38" i="5"/>
  <c r="D37" i="5"/>
  <c r="D36" i="5"/>
  <c r="D32" i="5"/>
  <c r="D31" i="5"/>
  <c r="D27" i="5"/>
  <c r="D26" i="5"/>
  <c r="D25" i="5"/>
  <c r="C24" i="5"/>
  <c r="D24" i="5" s="1"/>
  <c r="I4" i="3"/>
  <c r="I5" i="3" s="1"/>
  <c r="H4" i="3"/>
  <c r="H5" i="3" s="1"/>
  <c r="H13" i="6" l="1"/>
  <c r="I13" i="6" s="1"/>
  <c r="H12" i="6"/>
  <c r="I12" i="6" s="1"/>
  <c r="I10" i="6"/>
  <c r="G48" i="6"/>
  <c r="G50" i="6" s="1"/>
  <c r="E11" i="5"/>
  <c r="E12" i="5" s="1"/>
  <c r="E14" i="5" s="1"/>
  <c r="D33" i="5"/>
  <c r="D44" i="5"/>
  <c r="D28" i="5"/>
  <c r="I18" i="6" l="1"/>
  <c r="C19" i="5"/>
  <c r="E21" i="5" s="1"/>
  <c r="E46" i="5" s="1"/>
  <c r="E10" i="3"/>
  <c r="F10" i="3"/>
  <c r="B10" i="3"/>
  <c r="C10" i="3"/>
  <c r="D10" i="3"/>
  <c r="C33" i="6" l="1"/>
  <c r="C26" i="6"/>
  <c r="C29" i="6"/>
  <c r="C23" i="6"/>
  <c r="C37" i="6" s="1"/>
  <c r="C27" i="6"/>
  <c r="C28" i="6"/>
  <c r="C22" i="6"/>
  <c r="C51" i="5"/>
  <c r="D51" i="5" s="1"/>
  <c r="C59" i="5"/>
  <c r="D59" i="5" s="1"/>
  <c r="D62" i="5" s="1"/>
  <c r="C52" i="5"/>
  <c r="D52" i="5" s="1"/>
  <c r="C50" i="5"/>
  <c r="D50" i="5" s="1"/>
  <c r="B18" i="3"/>
  <c r="C39" i="6" l="1"/>
  <c r="H41" i="6" s="1"/>
  <c r="D54" i="5"/>
  <c r="E66" i="5" s="1"/>
  <c r="E77" i="5" s="1"/>
  <c r="E7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Risoterm - Obra Dow</author>
  </authors>
  <commentList>
    <comment ref="C54" authorId="0" shapeId="0" xr:uid="{A80FC433-39D7-4B43-9A3C-B765C35B5148}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  <comment ref="C55" authorId="0" shapeId="0" xr:uid="{EA657A4B-3FC1-4731-83BB-68DF6AEA9F21}">
      <text>
        <r>
          <rPr>
            <b/>
            <sz val="9"/>
            <color indexed="81"/>
            <rFont val="Tahoma"/>
            <family val="2"/>
          </rPr>
          <t>Risoterm - Obra Dow:</t>
        </r>
        <r>
          <rPr>
            <sz val="9"/>
            <color indexed="81"/>
            <rFont val="Tahoma"/>
            <family val="2"/>
          </rPr>
          <t xml:space="preserve">
+ 33 dias pré-parada</t>
        </r>
      </text>
    </comment>
  </commentList>
</comments>
</file>

<file path=xl/sharedStrings.xml><?xml version="1.0" encoding="utf-8"?>
<sst xmlns="http://schemas.openxmlformats.org/spreadsheetml/2006/main" count="439" uniqueCount="199">
  <si>
    <t>1.Custos Diretos</t>
  </si>
  <si>
    <t xml:space="preserve"> </t>
  </si>
  <si>
    <t>1.1 a) Mão-de-Obra (M.O)</t>
  </si>
  <si>
    <t>Categoria Profissional</t>
  </si>
  <si>
    <t>Horas/Dias/Meses Trabalhados</t>
  </si>
  <si>
    <t>Salário
 Hora/Dia/Mês (R$)</t>
  </si>
  <si>
    <t>Quantidade de pessoal</t>
  </si>
  <si>
    <t>Total (R$)</t>
  </si>
  <si>
    <t>Total Salário Bruto</t>
  </si>
  <si>
    <t>Adicional de Periculosidade - 30%</t>
  </si>
  <si>
    <t>Total de salários</t>
  </si>
  <si>
    <t>1.1 b) Encargos Sociais, Trabalhistas e Previdenciários</t>
  </si>
  <si>
    <t>Descrição</t>
  </si>
  <si>
    <t>%</t>
  </si>
  <si>
    <t>Valores (R$)</t>
  </si>
  <si>
    <t>Total de Encargos</t>
  </si>
  <si>
    <t>Total de M.O (1.1)</t>
  </si>
  <si>
    <t>1.2 - Equipamentos Principais</t>
  </si>
  <si>
    <t>Tipo</t>
  </si>
  <si>
    <t>Quantidade      Prevista</t>
  </si>
  <si>
    <t>Custo Unitário (R$)</t>
  </si>
  <si>
    <t>Valor Total (R$)</t>
  </si>
  <si>
    <t>Total Equipamentos</t>
  </si>
  <si>
    <t>1.3 - Materiais e Ferramentaria</t>
  </si>
  <si>
    <t>Materiais de Consumo</t>
  </si>
  <si>
    <t>Ferramentas</t>
  </si>
  <si>
    <t>Total Materiais</t>
  </si>
  <si>
    <t>1.4 Outros Custos Diretos</t>
  </si>
  <si>
    <t>Quantidade Prevista</t>
  </si>
  <si>
    <t>Custo Unitário R$</t>
  </si>
  <si>
    <t>Transporte</t>
  </si>
  <si>
    <t>Total de Outros Custos Diretos</t>
  </si>
  <si>
    <t>Total Custos Diretos (1.1+1.2+1.3+1.4)</t>
  </si>
  <si>
    <t>2.Custos Indiretos</t>
  </si>
  <si>
    <t>Alíquota (%) em relação ao ítem 1</t>
  </si>
  <si>
    <t>Base de Cálculo (R$)</t>
  </si>
  <si>
    <t>Total Custos Indiretos</t>
  </si>
  <si>
    <t>3.Tributos Incidentes sobre o Lucro</t>
  </si>
  <si>
    <t>Alíquota (%)</t>
  </si>
  <si>
    <t>Total Tributos Incidentes sobre o lucro</t>
  </si>
  <si>
    <t>4.Total dos Custos (R$)</t>
  </si>
  <si>
    <t>Custos Diretos + Custos Indiretos + Tributos Sobre o Lucro</t>
  </si>
  <si>
    <t>5.Tributos Incidentes sobre o Faturamento</t>
  </si>
  <si>
    <t>ISS</t>
  </si>
  <si>
    <t>PIS</t>
  </si>
  <si>
    <t>COFINS</t>
  </si>
  <si>
    <t>Total Tributos sobre o Faturamento</t>
  </si>
  <si>
    <t>6.Preço Total para Faturamento (R$)</t>
  </si>
  <si>
    <t xml:space="preserve">          INSTRUÇÕES PARA PREENCHIMENTO DA PLANILHA</t>
  </si>
  <si>
    <t>1.1</t>
  </si>
  <si>
    <t>Preenche-se a categoria profissional</t>
  </si>
  <si>
    <t>Preenche-se a quantidade de horas, dias ou meses que o profissional trabalhará</t>
  </si>
  <si>
    <t>Preenche-se o valor do salário do profissional por hora, dia ou mês, de acordo com o que foi preenchido no quadro anterior.</t>
  </si>
  <si>
    <t>Preenche-se a quantidade de profissionais daquela categoria que serão necessários para a realização do serviço</t>
  </si>
  <si>
    <t>Preenche-se os percentuais referentes aos encargos sociais. Se necessário, pode-se acrescentar outros encargos sociais que</t>
  </si>
  <si>
    <t>venham a incidir nos custos</t>
  </si>
  <si>
    <t xml:space="preserve">1.2 - 1.3 - 1.4 </t>
  </si>
  <si>
    <t>Preenche-se a quantidade prevista dos itens relacionados. Se necessário, pode-se acrescentar outros itens que sejam relevantes</t>
  </si>
  <si>
    <t>Preenche-se os custos unitários referentes aos itens relacionados</t>
  </si>
  <si>
    <t>Preenche-se os percentuais incidentes sobre os custos diretos, referentes à taxa de administração e à margem de lucro</t>
  </si>
  <si>
    <t>Preenche-se os percentuais referentes aos tributos que incidem sobre o lucro</t>
  </si>
  <si>
    <t>Preenche-se os percentuais referentes aos tributos que incidem sobre o faturamento</t>
  </si>
  <si>
    <t xml:space="preserve">OBS: Os cálculos serão feitos automaticamente pelas fórmulas contidas na planilha </t>
  </si>
  <si>
    <t>ATENÇÃO: PREENCHER SOMENTE OS CAMPOS EM AZUL</t>
  </si>
  <si>
    <t xml:space="preserve">DEMONSTRATIVO DE FORMAÇÃO DE PREÇO DOS SERVIÇOS </t>
  </si>
  <si>
    <t xml:space="preserve">Preço Total para Faturamento </t>
  </si>
  <si>
    <t>Coordenador</t>
  </si>
  <si>
    <t>Téc. de Segurança</t>
  </si>
  <si>
    <t>Almoxarife</t>
  </si>
  <si>
    <t>Supervisor</t>
  </si>
  <si>
    <t>Pedreiro Refratarista</t>
  </si>
  <si>
    <t>Ajudante</t>
  </si>
  <si>
    <t>Marteleteiro</t>
  </si>
  <si>
    <t>Obs. Segurança</t>
  </si>
  <si>
    <t>Cortador</t>
  </si>
  <si>
    <t>Encarregado</t>
  </si>
  <si>
    <t>Aux. Administrativo</t>
  </si>
  <si>
    <t xml:space="preserve">Misturador de Concreto </t>
  </si>
  <si>
    <t>Máquina Policort</t>
  </si>
  <si>
    <t>Disco Máquina Policorte</t>
  </si>
  <si>
    <t>Serra Tico-tico</t>
  </si>
  <si>
    <t>Serra Circular</t>
  </si>
  <si>
    <t>Rádios</t>
  </si>
  <si>
    <t>vb</t>
  </si>
  <si>
    <t>Iluminaçao</t>
  </si>
  <si>
    <t>Martelete</t>
  </si>
  <si>
    <t>Ponteira de Martelete</t>
  </si>
  <si>
    <t>Empilhadeira</t>
  </si>
  <si>
    <t xml:space="preserve">Toldo 6 x 6 </t>
  </si>
  <si>
    <t>Exames Médicos</t>
  </si>
  <si>
    <t>Seguro de Acidentes Pessoais</t>
  </si>
  <si>
    <t>Cesta Básica</t>
  </si>
  <si>
    <t>Higienização de EPI´S</t>
  </si>
  <si>
    <t>Adm. Central e Gerenciamento</t>
  </si>
  <si>
    <t>Despesas Financeiras</t>
  </si>
  <si>
    <t>Lucro Operacional</t>
  </si>
  <si>
    <t>Provisão p/ IRPJ e CSLL</t>
  </si>
  <si>
    <t>Fardamento</t>
  </si>
  <si>
    <t>EPI's</t>
  </si>
  <si>
    <t>Téc. de Planejamento</t>
  </si>
  <si>
    <t>COMPOSIÇÃO DE PREÇOS- Forno Eletrico</t>
  </si>
  <si>
    <t xml:space="preserve">1.1 Salários </t>
  </si>
  <si>
    <t>Quantidade</t>
  </si>
  <si>
    <t>Salário
 Básico (R$)</t>
  </si>
  <si>
    <t>Regime de
 Trabalho</t>
  </si>
  <si>
    <t>Adicional Periculosidade</t>
  </si>
  <si>
    <t>Hora Extra</t>
  </si>
  <si>
    <t>Adicional  Noturno</t>
  </si>
  <si>
    <t>Hora Normal
 (R$)</t>
  </si>
  <si>
    <t>Total
 Parcial (R$)</t>
  </si>
  <si>
    <t>Mão-de-Obra Indireta</t>
  </si>
  <si>
    <t>11 x 11</t>
  </si>
  <si>
    <t xml:space="preserve">Encarregado </t>
  </si>
  <si>
    <t>Mão-de-Obra Direta</t>
  </si>
  <si>
    <r>
      <t>BASE: MARCO</t>
    </r>
    <r>
      <rPr>
        <sz val="10"/>
        <rFont val="Arial"/>
        <family val="2"/>
      </rPr>
      <t>/ 2015</t>
    </r>
  </si>
  <si>
    <t>Total Salários</t>
  </si>
  <si>
    <t xml:space="preserve">1.2 Encargos Sociais </t>
  </si>
  <si>
    <t>Encargos Sociais</t>
  </si>
  <si>
    <t>% Encargos</t>
  </si>
  <si>
    <t>Valor Mensal</t>
  </si>
  <si>
    <t>A) Encargos Básicos</t>
  </si>
  <si>
    <t>INSS Empresa</t>
  </si>
  <si>
    <t>FGTS</t>
  </si>
  <si>
    <t xml:space="preserve">B) Encargos Esporádicos </t>
  </si>
  <si>
    <t>13º Salário</t>
  </si>
  <si>
    <t>Férias</t>
  </si>
  <si>
    <t>Auxílio Doença</t>
  </si>
  <si>
    <t>Aviso Prévio Idenizado</t>
  </si>
  <si>
    <t xml:space="preserve">C) Taxa das Reincidências </t>
  </si>
  <si>
    <t>Reincidência de "A"  x "B"</t>
  </si>
  <si>
    <t xml:space="preserve">D) Multa por Despedida </t>
  </si>
  <si>
    <t>Depósito por despedida</t>
  </si>
  <si>
    <t>50% (FGTS)</t>
  </si>
  <si>
    <t>TOTAL  ENCARGOS</t>
  </si>
  <si>
    <t>Total de M.O. + Encargos</t>
  </si>
  <si>
    <t>Prémio parada</t>
  </si>
  <si>
    <t>vg</t>
  </si>
  <si>
    <t>Container 6m - almox</t>
  </si>
  <si>
    <t>Container 6m - vest</t>
  </si>
  <si>
    <t>Container 6m - adm</t>
  </si>
  <si>
    <t>PRÊMIO PARADA</t>
  </si>
  <si>
    <t>Total</t>
  </si>
  <si>
    <t xml:space="preserve">Alimentação </t>
  </si>
  <si>
    <t>Caminhão com motorista</t>
  </si>
  <si>
    <t>v v</t>
  </si>
  <si>
    <t>Qtd</t>
  </si>
  <si>
    <t>Dias</t>
  </si>
  <si>
    <t>desjejum</t>
  </si>
  <si>
    <t>almoço</t>
  </si>
  <si>
    <t>lanche</t>
  </si>
  <si>
    <t>Ceia</t>
  </si>
  <si>
    <t>DIA</t>
  </si>
  <si>
    <t>NOITE</t>
  </si>
  <si>
    <t>PEDREIRO</t>
  </si>
  <si>
    <t>AJUDANTE</t>
  </si>
  <si>
    <t>CORTADOR</t>
  </si>
  <si>
    <t>OBS. SEGURANÇA</t>
  </si>
  <si>
    <t>MARTELETEIRO</t>
  </si>
  <si>
    <t>REFINO 01</t>
  </si>
  <si>
    <t>REFINO 02</t>
  </si>
  <si>
    <t>UAS</t>
  </si>
  <si>
    <t>ELÉTRICO</t>
  </si>
  <si>
    <t>CAMARA</t>
  </si>
  <si>
    <t>TOTAL</t>
  </si>
  <si>
    <t>ENCARREGADO</t>
  </si>
  <si>
    <t>COORDENADOR</t>
  </si>
  <si>
    <t>TEC. PLANEJAMENTO</t>
  </si>
  <si>
    <t>TEC. SEG</t>
  </si>
  <si>
    <t>SUPERVISOR</t>
  </si>
  <si>
    <t>ALMOXARIFE</t>
  </si>
  <si>
    <t>AUX. ADM</t>
  </si>
  <si>
    <t>MOI</t>
  </si>
  <si>
    <t>MOD</t>
  </si>
  <si>
    <t>EQUIPAMENTO</t>
  </si>
  <si>
    <t>PRAZO</t>
  </si>
  <si>
    <t>17 DIAS</t>
  </si>
  <si>
    <t>16  DIAS</t>
  </si>
  <si>
    <t>15  DIAS</t>
  </si>
  <si>
    <t>12  DIAS</t>
  </si>
  <si>
    <t>Robo Brokk</t>
  </si>
  <si>
    <t>Sistema de Travamento dos tijolos do Cilindro</t>
  </si>
  <si>
    <t>ALIMENTAÇÃO</t>
  </si>
  <si>
    <t>Hospedagem</t>
  </si>
  <si>
    <t xml:space="preserve">Transporte MOI </t>
  </si>
  <si>
    <t>Vibrador de Imersão</t>
  </si>
  <si>
    <t>Esteira Transportadora</t>
  </si>
  <si>
    <t xml:space="preserve">Ajudante REFINOS </t>
  </si>
  <si>
    <t>Ajudante ELETRICO</t>
  </si>
  <si>
    <t>Ajudante Refinos</t>
  </si>
  <si>
    <t>Ajudante Elétrico</t>
  </si>
  <si>
    <t>COMPOSIÇÃO DE PREÇOS- Consolidado</t>
  </si>
  <si>
    <t>Passagem Interestadual</t>
  </si>
  <si>
    <t>Alíquota (%) em relação ao item 1</t>
  </si>
  <si>
    <t>7. Itens sem incidência de custos indiretos:</t>
  </si>
  <si>
    <t>Aviso Prévio Indenizado</t>
  </si>
  <si>
    <t>8.Tributos Incidentes sobre o Item 7.</t>
  </si>
  <si>
    <t>9. Valor Total do Item 7. (R$)</t>
  </si>
  <si>
    <t xml:space="preserve">Total para Faturamento: </t>
  </si>
  <si>
    <t xml:space="preserve">Total para Faturamento com Desconto Comercial: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</si>
</sst>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* #,##0.00_-;\-[$R$-416]* #,##0.00_-;_-[$R$-416]* &quot;-&quot;??_-;_-@_-"/>
    <numFmt numFmtId="166" formatCode="_(&quot;R$&quot;* #,##0.00_);_(&quot;R$&quot;* \(#,##0.00\);_(&quot;R$&quot;* &quot;-&quot;??_);_(@_)"/>
    <numFmt numFmtId="167" formatCode="0.0"/>
    <numFmt numFmtId="168" formatCode="&quot;R$&quot;\ 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u/>
      <sz val="13"/>
      <color theme="0"/>
      <name val="Calibri"/>
      <family val="2"/>
      <scheme val="minor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7"/>
      </patternFill>
    </fill>
    <fill>
      <patternFill patternType="lightGray">
        <fgColor indexed="22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Gray">
        <fgColor indexed="22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lightGray">
        <fgColor indexed="22"/>
        <bgColor rgb="FFFFFF00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93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Border="1"/>
    <xf numFmtId="0" fontId="2" fillId="0" borderId="1" xfId="1" applyFont="1" applyBorder="1"/>
    <xf numFmtId="0" fontId="2" fillId="0" borderId="0" xfId="1" applyFont="1" applyAlignment="1">
      <alignment horizontal="right"/>
    </xf>
    <xf numFmtId="0" fontId="4" fillId="0" borderId="0" xfId="1" applyFont="1"/>
    <xf numFmtId="0" fontId="2" fillId="0" borderId="0" xfId="1" applyFont="1" applyBorder="1" applyAlignment="1">
      <alignment horizontal="center"/>
    </xf>
    <xf numFmtId="164" fontId="2" fillId="0" borderId="0" xfId="1" applyNumberFormat="1" applyFont="1" applyFill="1" applyBorder="1" applyAlignment="1">
      <alignment horizontal="center"/>
    </xf>
    <xf numFmtId="0" fontId="4" fillId="0" borderId="0" xfId="1" applyFont="1" applyAlignment="1">
      <alignment horizontal="right" vertical="center"/>
    </xf>
    <xf numFmtId="0" fontId="2" fillId="0" borderId="3" xfId="1" applyFont="1" applyBorder="1"/>
    <xf numFmtId="0" fontId="3" fillId="2" borderId="5" xfId="1" applyFont="1" applyFill="1" applyBorder="1" applyAlignment="1">
      <alignment vertical="center"/>
    </xf>
    <xf numFmtId="0" fontId="3" fillId="2" borderId="6" xfId="1" applyFont="1" applyFill="1" applyBorder="1" applyAlignment="1">
      <alignment vertical="center"/>
    </xf>
    <xf numFmtId="0" fontId="3" fillId="2" borderId="7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10" fontId="2" fillId="0" borderId="0" xfId="1" applyNumberFormat="1" applyFont="1" applyAlignment="1">
      <alignment horizontal="center"/>
    </xf>
    <xf numFmtId="0" fontId="3" fillId="2" borderId="4" xfId="1" applyFont="1" applyFill="1" applyBorder="1" applyAlignment="1">
      <alignment horizontal="center" vertical="center" wrapText="1"/>
    </xf>
    <xf numFmtId="0" fontId="2" fillId="0" borderId="8" xfId="1" applyFont="1" applyBorder="1"/>
    <xf numFmtId="0" fontId="2" fillId="0" borderId="9" xfId="1" applyFont="1" applyBorder="1"/>
    <xf numFmtId="0" fontId="4" fillId="0" borderId="0" xfId="1" applyFont="1" applyBorder="1"/>
    <xf numFmtId="164" fontId="3" fillId="0" borderId="0" xfId="1" applyNumberFormat="1" applyFont="1" applyBorder="1"/>
    <xf numFmtId="0" fontId="2" fillId="0" borderId="10" xfId="1" applyFont="1" applyBorder="1"/>
    <xf numFmtId="0" fontId="2" fillId="0" borderId="6" xfId="1" applyFont="1" applyBorder="1" applyAlignment="1">
      <alignment horizontal="center"/>
    </xf>
    <xf numFmtId="164" fontId="2" fillId="0" borderId="6" xfId="3" applyFont="1" applyFill="1" applyBorder="1" applyAlignment="1" applyProtection="1">
      <alignment horizontal="center" wrapText="1"/>
      <protection locked="0"/>
    </xf>
    <xf numFmtId="0" fontId="3" fillId="0" borderId="5" xfId="1" applyFont="1" applyBorder="1" applyAlignment="1">
      <alignment vertical="center"/>
    </xf>
    <xf numFmtId="0" fontId="3" fillId="0" borderId="11" xfId="3" applyNumberFormat="1" applyFont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0" fontId="8" fillId="0" borderId="0" xfId="1" applyFont="1"/>
    <xf numFmtId="0" fontId="6" fillId="0" borderId="0" xfId="1" applyFont="1" applyAlignment="1">
      <alignment horizontal="left"/>
    </xf>
    <xf numFmtId="0" fontId="3" fillId="0" borderId="0" xfId="1" applyFont="1"/>
    <xf numFmtId="0" fontId="2" fillId="0" borderId="12" xfId="1" applyFont="1" applyBorder="1"/>
    <xf numFmtId="0" fontId="9" fillId="0" borderId="0" xfId="1" applyFont="1"/>
    <xf numFmtId="0" fontId="4" fillId="3" borderId="4" xfId="1" applyFont="1" applyFill="1" applyBorder="1" applyAlignment="1">
      <alignment horizontal="center" vertical="center" wrapText="1"/>
    </xf>
    <xf numFmtId="0" fontId="2" fillId="4" borderId="13" xfId="1" applyFont="1" applyFill="1" applyBorder="1" applyAlignment="1" applyProtection="1">
      <alignment vertical="center"/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164" fontId="2" fillId="4" borderId="13" xfId="3" applyFont="1" applyFill="1" applyBorder="1" applyAlignment="1" applyProtection="1">
      <alignment horizontal="center" wrapText="1"/>
      <protection locked="0"/>
    </xf>
    <xf numFmtId="0" fontId="2" fillId="4" borderId="13" xfId="3" applyNumberFormat="1" applyFont="1" applyFill="1" applyBorder="1" applyAlignment="1" applyProtection="1">
      <alignment horizontal="center" vertical="center"/>
      <protection locked="0"/>
    </xf>
    <xf numFmtId="0" fontId="3" fillId="3" borderId="4" xfId="1" applyFont="1" applyFill="1" applyBorder="1" applyAlignment="1">
      <alignment horizontal="center" vertical="center"/>
    </xf>
    <xf numFmtId="10" fontId="2" fillId="4" borderId="9" xfId="1" applyNumberFormat="1" applyFont="1" applyFill="1" applyBorder="1" applyAlignment="1" applyProtection="1">
      <alignment horizontal="center"/>
      <protection locked="0"/>
    </xf>
    <xf numFmtId="10" fontId="2" fillId="4" borderId="14" xfId="1" applyNumberFormat="1" applyFont="1" applyFill="1" applyBorder="1" applyAlignment="1" applyProtection="1">
      <alignment horizontal="center"/>
      <protection locked="0"/>
    </xf>
    <xf numFmtId="10" fontId="2" fillId="4" borderId="9" xfId="1" applyNumberFormat="1" applyFont="1" applyFill="1" applyBorder="1" applyAlignment="1" applyProtection="1">
      <alignment horizontal="left"/>
      <protection locked="0"/>
    </xf>
    <xf numFmtId="0" fontId="2" fillId="4" borderId="9" xfId="1" applyNumberFormat="1" applyFont="1" applyFill="1" applyBorder="1" applyAlignment="1" applyProtection="1">
      <alignment horizontal="center"/>
      <protection locked="0"/>
    </xf>
    <xf numFmtId="164" fontId="2" fillId="4" borderId="9" xfId="3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justify"/>
    </xf>
    <xf numFmtId="0" fontId="2" fillId="4" borderId="9" xfId="1" applyFont="1" applyFill="1" applyBorder="1" applyAlignment="1" applyProtection="1">
      <alignment horizontal="center"/>
      <protection locked="0"/>
    </xf>
    <xf numFmtId="10" fontId="2" fillId="4" borderId="8" xfId="1" applyNumberFormat="1" applyFont="1" applyFill="1" applyBorder="1" applyAlignment="1" applyProtection="1">
      <alignment horizontal="center"/>
      <protection locked="0"/>
    </xf>
    <xf numFmtId="10" fontId="2" fillId="4" borderId="17" xfId="1" applyNumberFormat="1" applyFont="1" applyFill="1" applyBorder="1" applyAlignment="1" applyProtection="1">
      <alignment horizontal="center"/>
      <protection locked="0"/>
    </xf>
    <xf numFmtId="0" fontId="3" fillId="3" borderId="4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vertical="center"/>
    </xf>
    <xf numFmtId="10" fontId="2" fillId="4" borderId="1" xfId="1" applyNumberFormat="1" applyFont="1" applyFill="1" applyBorder="1" applyAlignment="1" applyProtection="1">
      <alignment horizontal="center"/>
      <protection locked="0"/>
    </xf>
    <xf numFmtId="0" fontId="2" fillId="3" borderId="6" xfId="1" applyFont="1" applyFill="1" applyBorder="1" applyAlignment="1">
      <alignment vertical="center"/>
    </xf>
    <xf numFmtId="0" fontId="2" fillId="3" borderId="7" xfId="1" applyFont="1" applyFill="1" applyBorder="1" applyAlignment="1">
      <alignment vertical="center"/>
    </xf>
    <xf numFmtId="0" fontId="3" fillId="5" borderId="0" xfId="1" applyFont="1" applyFill="1" applyAlignment="1">
      <alignment horizontal="left"/>
    </xf>
    <xf numFmtId="0" fontId="3" fillId="5" borderId="4" xfId="1" applyFont="1" applyFill="1" applyBorder="1" applyAlignment="1">
      <alignment horizontal="right" vertical="center"/>
    </xf>
    <xf numFmtId="0" fontId="3" fillId="2" borderId="0" xfId="1" applyFont="1" applyFill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5" borderId="5" xfId="1" applyFont="1" applyFill="1" applyBorder="1" applyAlignment="1">
      <alignment vertical="center"/>
    </xf>
    <xf numFmtId="0" fontId="2" fillId="5" borderId="7" xfId="1" applyFont="1" applyFill="1" applyBorder="1" applyAlignment="1">
      <alignment vertical="center"/>
    </xf>
    <xf numFmtId="0" fontId="3" fillId="5" borderId="1" xfId="1" applyFont="1" applyFill="1" applyBorder="1" applyAlignment="1">
      <alignment vertical="center"/>
    </xf>
    <xf numFmtId="0" fontId="2" fillId="0" borderId="19" xfId="1" applyFont="1" applyBorder="1"/>
    <xf numFmtId="0" fontId="4" fillId="0" borderId="5" xfId="1" applyFont="1" applyBorder="1" applyAlignment="1" applyProtection="1">
      <alignment vertical="center"/>
      <protection locked="0"/>
    </xf>
    <xf numFmtId="0" fontId="2" fillId="0" borderId="6" xfId="1" applyFont="1" applyBorder="1" applyProtection="1">
      <protection locked="0"/>
    </xf>
    <xf numFmtId="164" fontId="3" fillId="0" borderId="7" xfId="1" applyNumberFormat="1" applyFont="1" applyBorder="1" applyAlignment="1" applyProtection="1">
      <alignment vertical="center"/>
      <protection locked="0"/>
    </xf>
    <xf numFmtId="164" fontId="2" fillId="3" borderId="13" xfId="3" applyFont="1" applyFill="1" applyBorder="1" applyAlignment="1" applyProtection="1">
      <alignment horizontal="center" vertical="center"/>
    </xf>
    <xf numFmtId="164" fontId="3" fillId="0" borderId="13" xfId="3" applyFont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vertical="center"/>
    </xf>
    <xf numFmtId="164" fontId="3" fillId="5" borderId="7" xfId="1" applyNumberFormat="1" applyFont="1" applyFill="1" applyBorder="1" applyAlignment="1" applyProtection="1">
      <alignment horizontal="right" vertical="center"/>
    </xf>
    <xf numFmtId="164" fontId="2" fillId="3" borderId="9" xfId="1" applyNumberFormat="1" applyFont="1" applyFill="1" applyBorder="1" applyAlignment="1" applyProtection="1">
      <alignment horizontal="center"/>
    </xf>
    <xf numFmtId="164" fontId="2" fillId="3" borderId="20" xfId="1" applyNumberFormat="1" applyFont="1" applyFill="1" applyBorder="1" applyAlignment="1" applyProtection="1">
      <alignment horizontal="center"/>
    </xf>
    <xf numFmtId="164" fontId="2" fillId="3" borderId="19" xfId="1" applyNumberFormat="1" applyFont="1" applyFill="1" applyBorder="1" applyAlignment="1" applyProtection="1">
      <alignment horizontal="center"/>
    </xf>
    <xf numFmtId="164" fontId="2" fillId="3" borderId="8" xfId="3" applyFont="1" applyFill="1" applyBorder="1" applyAlignment="1" applyProtection="1">
      <alignment horizontal="center"/>
    </xf>
    <xf numFmtId="164" fontId="2" fillId="3" borderId="13" xfId="3" applyFont="1" applyFill="1" applyBorder="1" applyAlignment="1" applyProtection="1">
      <alignment horizontal="center"/>
    </xf>
    <xf numFmtId="164" fontId="2" fillId="3" borderId="9" xfId="3" applyFont="1" applyFill="1" applyBorder="1" applyAlignment="1" applyProtection="1">
      <alignment horizontal="center"/>
    </xf>
    <xf numFmtId="164" fontId="2" fillId="3" borderId="17" xfId="3" applyFont="1" applyFill="1" applyBorder="1" applyAlignment="1" applyProtection="1">
      <alignment horizontal="center"/>
    </xf>
    <xf numFmtId="164" fontId="2" fillId="3" borderId="14" xfId="3" applyFont="1" applyFill="1" applyBorder="1" applyAlignment="1" applyProtection="1">
      <alignment horizontal="center"/>
    </xf>
    <xf numFmtId="164" fontId="2" fillId="3" borderId="1" xfId="3" applyFont="1" applyFill="1" applyBorder="1" applyAlignment="1" applyProtection="1">
      <alignment horizontal="center"/>
    </xf>
    <xf numFmtId="164" fontId="3" fillId="2" borderId="4" xfId="1" applyNumberFormat="1" applyFont="1" applyFill="1" applyBorder="1" applyAlignment="1" applyProtection="1">
      <alignment vertical="center"/>
    </xf>
    <xf numFmtId="10" fontId="3" fillId="2" borderId="4" xfId="1" applyNumberFormat="1" applyFont="1" applyFill="1" applyBorder="1" applyAlignment="1" applyProtection="1">
      <alignment horizontal="center" vertical="center"/>
    </xf>
    <xf numFmtId="164" fontId="5" fillId="3" borderId="4" xfId="3" applyFont="1" applyFill="1" applyBorder="1" applyAlignment="1" applyProtection="1">
      <alignment vertical="center"/>
    </xf>
    <xf numFmtId="0" fontId="1" fillId="0" borderId="10" xfId="1" applyBorder="1"/>
    <xf numFmtId="0" fontId="3" fillId="5" borderId="5" xfId="1" applyFont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 vertical="center" wrapText="1"/>
    </xf>
    <xf numFmtId="164" fontId="3" fillId="5" borderId="4" xfId="2" applyNumberFormat="1" applyFont="1" applyFill="1" applyBorder="1" applyAlignment="1" applyProtection="1">
      <alignment vertical="center"/>
    </xf>
    <xf numFmtId="0" fontId="3" fillId="2" borderId="0" xfId="1" applyFont="1" applyFill="1" applyBorder="1" applyAlignment="1">
      <alignment horizontal="left"/>
    </xf>
    <xf numFmtId="0" fontId="2" fillId="0" borderId="18" xfId="1" applyFont="1" applyFill="1" applyBorder="1" applyProtection="1">
      <protection locked="0"/>
    </xf>
    <xf numFmtId="0" fontId="2" fillId="0" borderId="14" xfId="1" applyFont="1" applyFill="1" applyBorder="1" applyProtection="1">
      <protection locked="0"/>
    </xf>
    <xf numFmtId="0" fontId="2" fillId="0" borderId="16" xfId="1" applyFont="1" applyFill="1" applyBorder="1" applyProtection="1">
      <protection locked="0"/>
    </xf>
    <xf numFmtId="0" fontId="3" fillId="7" borderId="4" xfId="1" applyFont="1" applyFill="1" applyBorder="1" applyAlignment="1">
      <alignment horizontal="right" vertical="center"/>
    </xf>
    <xf numFmtId="164" fontId="3" fillId="7" borderId="4" xfId="1" applyNumberFormat="1" applyFont="1" applyFill="1" applyBorder="1" applyAlignment="1" applyProtection="1">
      <alignment horizontal="right" vertical="center"/>
    </xf>
    <xf numFmtId="0" fontId="2" fillId="7" borderId="4" xfId="1" applyFont="1" applyFill="1" applyBorder="1"/>
    <xf numFmtId="0" fontId="3" fillId="8" borderId="4" xfId="1" applyFont="1" applyFill="1" applyBorder="1" applyAlignment="1">
      <alignment horizontal="right" vertical="center"/>
    </xf>
    <xf numFmtId="164" fontId="3" fillId="8" borderId="7" xfId="1" applyNumberFormat="1" applyFont="1" applyFill="1" applyBorder="1" applyAlignment="1" applyProtection="1">
      <alignment horizontal="right" vertical="center"/>
    </xf>
    <xf numFmtId="0" fontId="11" fillId="0" borderId="0" xfId="1" applyFont="1"/>
    <xf numFmtId="0" fontId="3" fillId="7" borderId="5" xfId="1" applyFont="1" applyFill="1" applyBorder="1" applyAlignment="1">
      <alignment vertical="center"/>
    </xf>
    <xf numFmtId="0" fontId="3" fillId="7" borderId="6" xfId="1" applyFont="1" applyFill="1" applyBorder="1" applyAlignment="1">
      <alignment vertical="center"/>
    </xf>
    <xf numFmtId="0" fontId="3" fillId="7" borderId="7" xfId="1" applyFont="1" applyFill="1" applyBorder="1" applyAlignment="1">
      <alignment vertical="center"/>
    </xf>
    <xf numFmtId="164" fontId="3" fillId="7" borderId="4" xfId="3" applyFont="1" applyFill="1" applyBorder="1" applyAlignment="1" applyProtection="1">
      <alignment vertical="center"/>
    </xf>
    <xf numFmtId="0" fontId="1" fillId="4" borderId="13" xfId="1" applyFont="1" applyFill="1" applyBorder="1" applyAlignment="1" applyProtection="1">
      <alignment vertical="center"/>
      <protection locked="0"/>
    </xf>
    <xf numFmtId="44" fontId="0" fillId="0" borderId="0" xfId="4" applyFont="1"/>
    <xf numFmtId="44" fontId="0" fillId="0" borderId="0" xfId="0" applyNumberFormat="1"/>
    <xf numFmtId="10" fontId="1" fillId="4" borderId="9" xfId="1" applyNumberFormat="1" applyFont="1" applyFill="1" applyBorder="1" applyAlignment="1" applyProtection="1">
      <alignment horizontal="left"/>
      <protection locked="0"/>
    </xf>
    <xf numFmtId="0" fontId="1" fillId="0" borderId="9" xfId="1" applyFont="1" applyBorder="1"/>
    <xf numFmtId="0" fontId="1" fillId="4" borderId="15" xfId="1" applyNumberFormat="1" applyFont="1" applyFill="1" applyBorder="1" applyAlignment="1" applyProtection="1">
      <alignment horizontal="center"/>
      <protection locked="0"/>
    </xf>
    <xf numFmtId="0" fontId="1" fillId="4" borderId="19" xfId="1" applyNumberFormat="1" applyFont="1" applyFill="1" applyBorder="1" applyAlignment="1" applyProtection="1">
      <alignment horizontal="center"/>
      <protection locked="0"/>
    </xf>
    <xf numFmtId="0" fontId="1" fillId="4" borderId="9" xfId="1" applyNumberFormat="1" applyFont="1" applyFill="1" applyBorder="1" applyAlignment="1" applyProtection="1">
      <alignment horizontal="center"/>
      <protection locked="0"/>
    </xf>
    <xf numFmtId="0" fontId="2" fillId="4" borderId="14" xfId="3" applyNumberFormat="1" applyFont="1" applyFill="1" applyBorder="1" applyAlignment="1" applyProtection="1">
      <alignment horizontal="center" vertical="center"/>
      <protection locked="0"/>
    </xf>
    <xf numFmtId="164" fontId="2" fillId="3" borderId="14" xfId="3" applyFont="1" applyFill="1" applyBorder="1" applyAlignment="1" applyProtection="1">
      <alignment horizontal="center" vertical="center"/>
    </xf>
    <xf numFmtId="0" fontId="1" fillId="0" borderId="3" xfId="1" applyFont="1" applyBorder="1"/>
    <xf numFmtId="0" fontId="14" fillId="0" borderId="0" xfId="0" applyFont="1"/>
    <xf numFmtId="0" fontId="13" fillId="5" borderId="0" xfId="0" applyFont="1" applyFill="1" applyAlignment="1">
      <alignment horizontal="left" vertical="center"/>
    </xf>
    <xf numFmtId="0" fontId="15" fillId="5" borderId="0" xfId="0" applyFont="1" applyFill="1" applyAlignment="1">
      <alignment horizontal="left"/>
    </xf>
    <xf numFmtId="0" fontId="3" fillId="5" borderId="0" xfId="0" applyFont="1" applyFill="1" applyAlignment="1">
      <alignment horizontal="left"/>
    </xf>
    <xf numFmtId="0" fontId="1" fillId="0" borderId="0" xfId="0" applyFont="1" applyFill="1"/>
    <xf numFmtId="0" fontId="5" fillId="0" borderId="0" xfId="0" applyFont="1"/>
    <xf numFmtId="0" fontId="1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3" fillId="0" borderId="0" xfId="0" applyFont="1"/>
    <xf numFmtId="11" fontId="16" fillId="0" borderId="8" xfId="0" applyNumberFormat="1" applyFont="1" applyFill="1" applyBorder="1" applyAlignment="1" applyProtection="1">
      <alignment vertical="center"/>
      <protection locked="0"/>
    </xf>
    <xf numFmtId="0" fontId="3" fillId="0" borderId="8" xfId="0" applyFont="1" applyFill="1" applyBorder="1" applyAlignment="1" applyProtection="1">
      <alignment horizontal="center"/>
      <protection locked="0"/>
    </xf>
    <xf numFmtId="164" fontId="1" fillId="0" borderId="8" xfId="5" applyNumberFormat="1" applyFont="1" applyFill="1" applyBorder="1" applyAlignment="1" applyProtection="1">
      <alignment horizontal="center" wrapText="1"/>
      <protection locked="0"/>
    </xf>
    <xf numFmtId="0" fontId="1" fillId="0" borderId="8" xfId="5" applyNumberFormat="1" applyFont="1" applyFill="1" applyBorder="1" applyAlignment="1" applyProtection="1">
      <alignment horizontal="center" vertical="center"/>
      <protection locked="0"/>
    </xf>
    <xf numFmtId="164" fontId="3" fillId="9" borderId="8" xfId="5" applyNumberFormat="1" applyFont="1" applyFill="1" applyBorder="1" applyAlignment="1">
      <alignment horizontal="center" vertical="center"/>
    </xf>
    <xf numFmtId="11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9" xfId="5" applyNumberFormat="1" applyFont="1" applyFill="1" applyBorder="1" applyAlignment="1" applyProtection="1">
      <alignment horizontal="center" vertical="center"/>
      <protection locked="0"/>
    </xf>
    <xf numFmtId="166" fontId="1" fillId="0" borderId="9" xfId="4" applyNumberFormat="1" applyFont="1" applyFill="1" applyBorder="1" applyAlignment="1" applyProtection="1">
      <alignment horizontal="center" vertical="center"/>
      <protection locked="0"/>
    </xf>
    <xf numFmtId="2" fontId="1" fillId="0" borderId="9" xfId="4" applyNumberFormat="1" applyFont="1" applyFill="1" applyBorder="1" applyAlignment="1" applyProtection="1">
      <alignment horizontal="center" wrapText="1"/>
      <protection locked="0"/>
    </xf>
    <xf numFmtId="11" fontId="16" fillId="0" borderId="9" xfId="0" applyNumberFormat="1" applyFont="1" applyFill="1" applyBorder="1" applyAlignment="1" applyProtection="1">
      <alignment vertical="center"/>
      <protection locked="0"/>
    </xf>
    <xf numFmtId="166" fontId="1" fillId="9" borderId="9" xfId="4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vertical="center"/>
      <protection locked="0"/>
    </xf>
    <xf numFmtId="164" fontId="1" fillId="0" borderId="9" xfId="5" applyNumberFormat="1" applyFont="1" applyFill="1" applyBorder="1" applyAlignment="1" applyProtection="1">
      <alignment horizontal="center" wrapText="1"/>
      <protection locked="0"/>
    </xf>
    <xf numFmtId="164" fontId="1" fillId="0" borderId="9" xfId="5" applyNumberFormat="1" applyFont="1" applyFill="1" applyBorder="1" applyAlignment="1" applyProtection="1">
      <alignment horizontal="center" vertical="center"/>
      <protection locked="0"/>
    </xf>
    <xf numFmtId="164" fontId="1" fillId="9" borderId="9" xfId="5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/>
      <protection locked="0"/>
    </xf>
    <xf numFmtId="164" fontId="3" fillId="9" borderId="9" xfId="5" applyNumberFormat="1" applyFont="1" applyFill="1" applyBorder="1" applyAlignment="1">
      <alignment horizontal="center" vertical="center"/>
    </xf>
    <xf numFmtId="11" fontId="1" fillId="0" borderId="19" xfId="0" applyNumberFormat="1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/>
      <protection locked="0"/>
    </xf>
    <xf numFmtId="9" fontId="1" fillId="0" borderId="9" xfId="2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>
      <alignment vertical="center"/>
    </xf>
    <xf numFmtId="0" fontId="3" fillId="0" borderId="24" xfId="0" applyFont="1" applyBorder="1" applyAlignment="1">
      <alignment horizontal="center"/>
    </xf>
    <xf numFmtId="164" fontId="1" fillId="0" borderId="0" xfId="5" applyNumberFormat="1" applyFont="1" applyFill="1" applyBorder="1" applyAlignment="1" applyProtection="1">
      <alignment horizontal="center" wrapText="1"/>
      <protection locked="0"/>
    </xf>
    <xf numFmtId="0" fontId="3" fillId="0" borderId="0" xfId="5" applyNumberFormat="1" applyFont="1" applyBorder="1" applyAlignment="1">
      <alignment horizontal="center" vertical="center"/>
    </xf>
    <xf numFmtId="164" fontId="3" fillId="0" borderId="0" xfId="5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166" fontId="3" fillId="2" borderId="4" xfId="4" applyNumberFormat="1" applyFont="1" applyFill="1" applyBorder="1" applyAlignment="1">
      <alignment horizontal="right" vertical="center"/>
    </xf>
    <xf numFmtId="0" fontId="3" fillId="3" borderId="4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11" borderId="8" xfId="0" applyFont="1" applyFill="1" applyBorder="1"/>
    <xf numFmtId="10" fontId="3" fillId="12" borderId="8" xfId="0" applyNumberFormat="1" applyFont="1" applyFill="1" applyBorder="1" applyAlignment="1" applyProtection="1">
      <alignment horizontal="center"/>
      <protection locked="0"/>
    </xf>
    <xf numFmtId="164" fontId="3" fillId="9" borderId="25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11" borderId="9" xfId="0" applyFont="1" applyFill="1" applyBorder="1"/>
    <xf numFmtId="10" fontId="1" fillId="0" borderId="9" xfId="0" applyNumberFormat="1" applyFont="1" applyFill="1" applyBorder="1" applyAlignment="1" applyProtection="1">
      <alignment horizontal="center"/>
      <protection locked="0"/>
    </xf>
    <xf numFmtId="166" fontId="1" fillId="9" borderId="26" xfId="4" applyNumberFormat="1" applyFont="1" applyFill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11" borderId="9" xfId="0" applyFont="1" applyFill="1" applyBorder="1"/>
    <xf numFmtId="10" fontId="3" fillId="0" borderId="9" xfId="0" applyNumberFormat="1" applyFont="1" applyFill="1" applyBorder="1" applyAlignment="1" applyProtection="1">
      <alignment horizontal="center"/>
      <protection locked="0"/>
    </xf>
    <xf numFmtId="164" fontId="3" fillId="9" borderId="26" xfId="0" applyNumberFormat="1" applyFont="1" applyFill="1" applyBorder="1" applyAlignment="1">
      <alignment horizontal="center"/>
    </xf>
    <xf numFmtId="10" fontId="1" fillId="0" borderId="26" xfId="2" applyNumberFormat="1" applyFont="1" applyFill="1" applyBorder="1" applyAlignment="1">
      <alignment horizontal="center"/>
    </xf>
    <xf numFmtId="10" fontId="18" fillId="0" borderId="9" xfId="0" applyNumberFormat="1" applyFont="1" applyFill="1" applyBorder="1" applyAlignment="1" applyProtection="1">
      <alignment horizontal="center"/>
      <protection locked="0"/>
    </xf>
    <xf numFmtId="166" fontId="3" fillId="9" borderId="26" xfId="4" applyNumberFormat="1" applyFont="1" applyFill="1" applyBorder="1" applyAlignment="1">
      <alignment horizontal="center"/>
    </xf>
    <xf numFmtId="10" fontId="3" fillId="12" borderId="9" xfId="0" applyNumberFormat="1" applyFont="1" applyFill="1" applyBorder="1" applyAlignment="1" applyProtection="1">
      <alignment horizontal="center"/>
      <protection locked="0"/>
    </xf>
    <xf numFmtId="10" fontId="1" fillId="12" borderId="9" xfId="0" applyNumberFormat="1" applyFont="1" applyFill="1" applyBorder="1" applyAlignment="1" applyProtection="1">
      <alignment horizontal="center"/>
      <protection locked="0"/>
    </xf>
    <xf numFmtId="0" fontId="1" fillId="11" borderId="14" xfId="0" applyFont="1" applyFill="1" applyBorder="1"/>
    <xf numFmtId="10" fontId="1" fillId="12" borderId="14" xfId="0" applyNumberFormat="1" applyFont="1" applyFill="1" applyBorder="1" applyAlignment="1" applyProtection="1">
      <alignment horizontal="center"/>
      <protection locked="0"/>
    </xf>
    <xf numFmtId="164" fontId="1" fillId="9" borderId="27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center"/>
    </xf>
    <xf numFmtId="10" fontId="3" fillId="5" borderId="4" xfId="0" applyNumberFormat="1" applyFont="1" applyFill="1" applyBorder="1" applyAlignment="1">
      <alignment horizontal="center" vertical="center"/>
    </xf>
    <xf numFmtId="166" fontId="3" fillId="5" borderId="4" xfId="4" applyNumberFormat="1" applyFont="1" applyFill="1" applyBorder="1" applyAlignment="1">
      <alignment horizontal="center" vertical="center"/>
    </xf>
    <xf numFmtId="49" fontId="3" fillId="0" borderId="0" xfId="2" applyNumberFormat="1" applyFont="1" applyFill="1" applyBorder="1" applyAlignment="1">
      <alignment horizontal="left"/>
    </xf>
    <xf numFmtId="10" fontId="1" fillId="0" borderId="0" xfId="2" applyNumberFormat="1" applyFont="1" applyFill="1" applyBorder="1" applyAlignment="1">
      <alignment horizontal="center"/>
    </xf>
    <xf numFmtId="9" fontId="1" fillId="0" borderId="0" xfId="2" applyFont="1" applyFill="1" applyBorder="1" applyAlignment="1">
      <alignment horizontal="center"/>
    </xf>
    <xf numFmtId="0" fontId="3" fillId="0" borderId="0" xfId="0" applyFont="1" applyAlignment="1">
      <alignment horizontal="right" vertical="center"/>
    </xf>
    <xf numFmtId="164" fontId="1" fillId="0" borderId="0" xfId="0" applyNumberFormat="1" applyFont="1"/>
    <xf numFmtId="0" fontId="3" fillId="5" borderId="6" xfId="0" applyFont="1" applyFill="1" applyBorder="1" applyAlignment="1">
      <alignment horizontal="center" vertical="center"/>
    </xf>
    <xf numFmtId="0" fontId="1" fillId="0" borderId="3" xfId="1" applyFont="1" applyFill="1" applyBorder="1" applyProtection="1">
      <protection locked="0"/>
    </xf>
    <xf numFmtId="44" fontId="0" fillId="10" borderId="0" xfId="4" applyFont="1" applyFill="1"/>
    <xf numFmtId="0" fontId="1" fillId="0" borderId="4" xfId="0" applyFont="1" applyBorder="1" applyAlignment="1">
      <alignment horizontal="center"/>
    </xf>
    <xf numFmtId="166" fontId="1" fillId="0" borderId="9" xfId="4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65" fontId="14" fillId="0" borderId="0" xfId="0" applyNumberFormat="1" applyFont="1"/>
    <xf numFmtId="0" fontId="14" fillId="0" borderId="4" xfId="0" applyFont="1" applyFill="1" applyBorder="1" applyAlignment="1">
      <alignment horizontal="right"/>
    </xf>
    <xf numFmtId="164" fontId="1" fillId="0" borderId="4" xfId="0" applyNumberFormat="1" applyFont="1" applyBorder="1" applyAlignment="1">
      <alignment horizontal="center"/>
    </xf>
    <xf numFmtId="0" fontId="1" fillId="4" borderId="4" xfId="3" applyNumberFormat="1" applyFont="1" applyFill="1" applyBorder="1" applyAlignment="1" applyProtection="1">
      <alignment horizontal="center" vertical="center"/>
      <protection locked="0"/>
    </xf>
    <xf numFmtId="167" fontId="1" fillId="0" borderId="4" xfId="0" applyNumberFormat="1" applyFont="1" applyBorder="1" applyAlignment="1">
      <alignment horizontal="center"/>
    </xf>
    <xf numFmtId="44" fontId="1" fillId="0" borderId="4" xfId="4" applyFont="1" applyBorder="1" applyAlignment="1">
      <alignment horizontal="center" vertical="center"/>
    </xf>
    <xf numFmtId="44" fontId="3" fillId="9" borderId="4" xfId="0" applyNumberFormat="1" applyFont="1" applyFill="1" applyBorder="1"/>
    <xf numFmtId="44" fontId="3" fillId="10" borderId="0" xfId="0" applyNumberFormat="1" applyFont="1" applyFill="1"/>
    <xf numFmtId="164" fontId="1" fillId="4" borderId="9" xfId="3" applyFont="1" applyFill="1" applyBorder="1" applyAlignment="1" applyProtection="1">
      <alignment horizontal="center"/>
      <protection locked="0"/>
    </xf>
    <xf numFmtId="164" fontId="1" fillId="3" borderId="9" xfId="1" applyNumberFormat="1" applyFont="1" applyFill="1" applyBorder="1" applyAlignment="1" applyProtection="1">
      <alignment horizontal="center"/>
    </xf>
    <xf numFmtId="0" fontId="1" fillId="4" borderId="9" xfId="1" applyFont="1" applyFill="1" applyBorder="1" applyAlignment="1" applyProtection="1">
      <alignment horizontal="center"/>
      <protection locked="0"/>
    </xf>
    <xf numFmtId="164" fontId="1" fillId="3" borderId="13" xfId="3" applyFont="1" applyFill="1" applyBorder="1" applyAlignment="1" applyProtection="1">
      <alignment horizontal="center"/>
    </xf>
    <xf numFmtId="43" fontId="2" fillId="0" borderId="0" xfId="1" applyNumberFormat="1" applyFont="1"/>
    <xf numFmtId="43" fontId="2" fillId="0" borderId="0" xfId="1" applyNumberFormat="1" applyFont="1" applyAlignment="1">
      <alignment horizontal="center" vertical="center"/>
    </xf>
    <xf numFmtId="44" fontId="3" fillId="2" borderId="4" xfId="4" applyFont="1" applyFill="1" applyBorder="1" applyAlignment="1">
      <alignment horizontal="left"/>
    </xf>
    <xf numFmtId="0" fontId="1" fillId="0" borderId="2" xfId="1" applyFont="1" applyBorder="1"/>
    <xf numFmtId="0" fontId="2" fillId="4" borderId="14" xfId="1" applyNumberFormat="1" applyFont="1" applyFill="1" applyBorder="1" applyAlignment="1" applyProtection="1">
      <alignment horizontal="center"/>
      <protection locked="0"/>
    </xf>
    <xf numFmtId="0" fontId="1" fillId="0" borderId="14" xfId="1" applyFont="1" applyFill="1" applyBorder="1" applyProtection="1">
      <protection locked="0"/>
    </xf>
    <xf numFmtId="2" fontId="0" fillId="0" borderId="31" xfId="0" applyNumberForma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10" fontId="3" fillId="13" borderId="4" xfId="2" applyNumberFormat="1" applyFont="1" applyFill="1" applyBorder="1" applyAlignment="1" applyProtection="1">
      <alignment vertical="center"/>
    </xf>
    <xf numFmtId="0" fontId="1" fillId="0" borderId="24" xfId="1" applyFont="1" applyFill="1" applyBorder="1" applyProtection="1">
      <protection locked="0"/>
    </xf>
    <xf numFmtId="0" fontId="3" fillId="5" borderId="0" xfId="0" applyFont="1" applyFill="1" applyBorder="1" applyAlignment="1">
      <alignment horizontal="center" vertical="center"/>
    </xf>
    <xf numFmtId="166" fontId="3" fillId="5" borderId="0" xfId="4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0" fontId="1" fillId="4" borderId="14" xfId="1" applyNumberFormat="1" applyFont="1" applyFill="1" applyBorder="1" applyAlignment="1" applyProtection="1">
      <alignment horizontal="left"/>
      <protection locked="0"/>
    </xf>
    <xf numFmtId="0" fontId="1" fillId="0" borderId="14" xfId="1" applyFont="1" applyBorder="1"/>
    <xf numFmtId="0" fontId="1" fillId="4" borderId="14" xfId="1" applyNumberFormat="1" applyFont="1" applyFill="1" applyBorder="1" applyAlignment="1" applyProtection="1">
      <alignment horizontal="center"/>
      <protection locked="0"/>
    </xf>
    <xf numFmtId="168" fontId="0" fillId="0" borderId="0" xfId="0" applyNumberFormat="1"/>
    <xf numFmtId="0" fontId="2" fillId="0" borderId="14" xfId="1" applyFont="1" applyBorder="1"/>
    <xf numFmtId="10" fontId="3" fillId="8" borderId="4" xfId="2" applyNumberFormat="1" applyFont="1" applyFill="1" applyBorder="1" applyAlignment="1" applyProtection="1">
      <alignment vertical="center"/>
    </xf>
    <xf numFmtId="164" fontId="5" fillId="9" borderId="0" xfId="3" applyFont="1" applyFill="1" applyBorder="1" applyAlignment="1" applyProtection="1">
      <alignment vertical="center"/>
    </xf>
    <xf numFmtId="0" fontId="2" fillId="4" borderId="8" xfId="1" applyFont="1" applyFill="1" applyBorder="1" applyAlignment="1" applyProtection="1">
      <alignment horizontal="center"/>
      <protection locked="0"/>
    </xf>
    <xf numFmtId="164" fontId="2" fillId="4" borderId="8" xfId="3" applyFont="1" applyFill="1" applyBorder="1" applyAlignment="1" applyProtection="1">
      <alignment horizontal="center"/>
      <protection locked="0"/>
    </xf>
    <xf numFmtId="0" fontId="1" fillId="0" borderId="9" xfId="1" applyFont="1" applyFill="1" applyBorder="1" applyProtection="1">
      <protection locked="0"/>
    </xf>
    <xf numFmtId="164" fontId="1" fillId="3" borderId="9" xfId="3" applyFont="1" applyFill="1" applyBorder="1" applyAlignment="1" applyProtection="1">
      <alignment horizontal="center"/>
    </xf>
    <xf numFmtId="0" fontId="1" fillId="4" borderId="14" xfId="1" applyFont="1" applyFill="1" applyBorder="1" applyAlignment="1" applyProtection="1">
      <alignment horizontal="center"/>
      <protection locked="0"/>
    </xf>
    <xf numFmtId="164" fontId="1" fillId="3" borderId="14" xfId="3" applyFont="1" applyFill="1" applyBorder="1" applyAlignment="1" applyProtection="1">
      <alignment horizontal="center"/>
    </xf>
    <xf numFmtId="2" fontId="0" fillId="0" borderId="0" xfId="0" applyNumberFormat="1"/>
    <xf numFmtId="164" fontId="1" fillId="4" borderId="14" xfId="3" applyFont="1" applyFill="1" applyBorder="1" applyAlignment="1" applyProtection="1">
      <alignment horizontal="center"/>
      <protection locked="0"/>
    </xf>
    <xf numFmtId="0" fontId="3" fillId="9" borderId="0" xfId="1" applyFont="1" applyFill="1" applyAlignment="1">
      <alignment horizontal="left" vertical="center"/>
    </xf>
    <xf numFmtId="0" fontId="3" fillId="9" borderId="0" xfId="1" applyFont="1" applyFill="1" applyAlignment="1">
      <alignment horizontal="left"/>
    </xf>
    <xf numFmtId="0" fontId="0" fillId="9" borderId="0" xfId="0" applyFill="1"/>
    <xf numFmtId="164" fontId="3" fillId="5" borderId="1" xfId="1" applyNumberFormat="1" applyFont="1" applyFill="1" applyBorder="1" applyAlignment="1" applyProtection="1">
      <alignment horizontal="righ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44" fontId="1" fillId="0" borderId="0" xfId="0" applyNumberFormat="1" applyFont="1"/>
    <xf numFmtId="0" fontId="10" fillId="6" borderId="21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6" fontId="3" fillId="5" borderId="5" xfId="4" applyNumberFormat="1" applyFont="1" applyFill="1" applyBorder="1" applyAlignment="1">
      <alignment horizontal="center" vertical="center"/>
    </xf>
    <xf numFmtId="166" fontId="3" fillId="5" borderId="7" xfId="4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6">
    <cellStyle name="Moeda" xfId="4" builtinId="4"/>
    <cellStyle name="Normal" xfId="0" builtinId="0"/>
    <cellStyle name="Normal 2" xfId="1" xr:uid="{00000000-0005-0000-0000-000002000000}"/>
    <cellStyle name="Porcentagem 2" xfId="2" xr:uid="{00000000-0005-0000-0000-000003000000}"/>
    <cellStyle name="Vírgula" xfId="5" builtinId="3"/>
    <cellStyle name="Vírgula 2" xfId="3" xr:uid="{00000000-0005-0000-0000-000005000000}"/>
  </cellStyles>
  <dxfs count="0"/>
  <tableStyles count="0" defaultTableStyle="TableStyleMedium2" defaultPivotStyle="PivotStyleLight16"/>
  <colors>
    <mruColors>
      <color rgb="FFC0E2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105149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390526</xdr:colOff>
      <xdr:row>2</xdr:row>
      <xdr:rowOff>9525</xdr:rowOff>
    </xdr:from>
    <xdr:to>
      <xdr:col>5</xdr:col>
      <xdr:colOff>0</xdr:colOff>
      <xdr:row>5</xdr:row>
      <xdr:rowOff>89985</xdr:rowOff>
    </xdr:to>
    <xdr:pic>
      <xdr:nvPicPr>
        <xdr:cNvPr id="2" name="Imagem 1" descr="MARCA_corporativa">
          <a:extLst>
            <a:ext uri="{FF2B5EF4-FFF2-40B4-BE49-F238E27FC236}">
              <a16:creationId xmlns:a16="http://schemas.microsoft.com/office/drawing/2014/main" id="{65AC0146-FDD0-4803-A97F-8BEAE41C3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9151" y="419100"/>
          <a:ext cx="3381374" cy="651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showGridLines="0" view="pageBreakPreview" topLeftCell="A73" zoomScaleNormal="100" zoomScaleSheetLayoutView="100" workbookViewId="0">
      <selection activeCell="A87" sqref="A87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2" customWidth="1"/>
    <col min="5" max="5" width="16.140625" customWidth="1"/>
    <col min="6" max="6" width="12" customWidth="1"/>
    <col min="9" max="9" width="14.42578125" bestFit="1" customWidth="1"/>
  </cols>
  <sheetData>
    <row r="1" spans="1:5" ht="7.5" customHeight="1" thickBot="1" x14ac:dyDescent="0.3"/>
    <row r="2" spans="1:5" ht="24.75" customHeight="1" thickBot="1" x14ac:dyDescent="0.3">
      <c r="A2" s="263" t="s">
        <v>64</v>
      </c>
      <c r="B2" s="264"/>
      <c r="C2" s="264"/>
      <c r="D2" s="264"/>
      <c r="E2" s="265"/>
    </row>
    <row r="4" spans="1:5" x14ac:dyDescent="0.25">
      <c r="A4" s="56" t="s">
        <v>0</v>
      </c>
      <c r="B4" s="54" t="s">
        <v>1</v>
      </c>
      <c r="C4" s="54"/>
      <c r="D4" s="54"/>
      <c r="E4" s="54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99" t="s">
        <v>75</v>
      </c>
      <c r="B8" s="35">
        <v>30</v>
      </c>
      <c r="C8" s="36">
        <f t="shared" ref="C8:C10" si="0">E8/B8/D8</f>
        <v>129.65333333333334</v>
      </c>
      <c r="D8" s="37">
        <v>1</v>
      </c>
      <c r="E8" s="65">
        <v>3889.6</v>
      </c>
    </row>
    <row r="9" spans="1:5" x14ac:dyDescent="0.25">
      <c r="A9" s="99" t="s">
        <v>186</v>
      </c>
      <c r="B9" s="35">
        <v>30</v>
      </c>
      <c r="C9" s="36">
        <f t="shared" si="0"/>
        <v>38.635306666666672</v>
      </c>
      <c r="D9" s="37">
        <v>4</v>
      </c>
      <c r="E9" s="65">
        <v>4636.2368000000006</v>
      </c>
    </row>
    <row r="10" spans="1:5" x14ac:dyDescent="0.25">
      <c r="A10" s="99" t="s">
        <v>187</v>
      </c>
      <c r="B10" s="35">
        <v>30</v>
      </c>
      <c r="C10" s="36">
        <f t="shared" si="0"/>
        <v>77.270613333333344</v>
      </c>
      <c r="D10" s="107">
        <v>2</v>
      </c>
      <c r="E10" s="65">
        <v>4636.2368000000006</v>
      </c>
    </row>
    <row r="11" spans="1:5" x14ac:dyDescent="0.25">
      <c r="A11" s="24" t="s">
        <v>8</v>
      </c>
      <c r="B11" s="22"/>
      <c r="C11" s="23"/>
      <c r="D11" s="25"/>
      <c r="E11" s="66">
        <f>SUM(E8:E10)</f>
        <v>13162.073600000002</v>
      </c>
    </row>
    <row r="12" spans="1:5" x14ac:dyDescent="0.25">
      <c r="A12" s="62" t="s">
        <v>9</v>
      </c>
      <c r="B12" s="63"/>
      <c r="C12" s="63"/>
      <c r="D12" s="64"/>
      <c r="E12" s="67">
        <f>E11*30%</f>
        <v>3948.6220800000001</v>
      </c>
    </row>
    <row r="13" spans="1:5" x14ac:dyDescent="0.25">
      <c r="A13" s="19"/>
      <c r="B13" s="3"/>
      <c r="C13" s="21"/>
      <c r="D13" s="20"/>
      <c r="E13" s="20"/>
    </row>
    <row r="14" spans="1:5" x14ac:dyDescent="0.25">
      <c r="A14" s="2"/>
      <c r="B14" s="2"/>
      <c r="C14" s="89"/>
      <c r="D14" s="89" t="s">
        <v>10</v>
      </c>
      <c r="E14" s="90">
        <f>E11+E12</f>
        <v>17110.695680000001</v>
      </c>
    </row>
    <row r="15" spans="1:5" x14ac:dyDescent="0.25">
      <c r="A15" s="2"/>
      <c r="B15" s="2"/>
      <c r="C15" s="2"/>
      <c r="D15" s="2"/>
      <c r="E15" s="2"/>
    </row>
    <row r="16" spans="1:5" x14ac:dyDescent="0.25">
      <c r="A16" s="6" t="s">
        <v>11</v>
      </c>
      <c r="B16" s="2"/>
      <c r="C16" s="2"/>
      <c r="D16" s="2"/>
    </row>
    <row r="17" spans="1:5" x14ac:dyDescent="0.25">
      <c r="A17" s="44" t="s">
        <v>12</v>
      </c>
      <c r="B17" s="44" t="s">
        <v>13</v>
      </c>
      <c r="C17" s="44" t="s">
        <v>14</v>
      </c>
      <c r="D17" s="7"/>
    </row>
    <row r="18" spans="1:5" x14ac:dyDescent="0.25">
      <c r="A18" s="81"/>
      <c r="B18" s="81"/>
      <c r="C18" s="81"/>
      <c r="D18" s="1"/>
    </row>
    <row r="19" spans="1:5" x14ac:dyDescent="0.25">
      <c r="A19" s="82" t="s">
        <v>15</v>
      </c>
      <c r="B19" s="233">
        <v>0.85</v>
      </c>
      <c r="C19" s="84">
        <f>E14*B19</f>
        <v>14544.091328</v>
      </c>
      <c r="D19" s="8"/>
      <c r="E19" s="2"/>
    </row>
    <row r="20" spans="1:5" x14ac:dyDescent="0.25">
      <c r="A20" s="2"/>
      <c r="B20" s="7"/>
      <c r="C20" s="2"/>
      <c r="D20" s="2"/>
      <c r="E20" s="2"/>
    </row>
    <row r="21" spans="1:5" x14ac:dyDescent="0.25">
      <c r="A21" s="9"/>
      <c r="B21" s="2"/>
      <c r="C21" s="91"/>
      <c r="D21" s="92" t="s">
        <v>16</v>
      </c>
      <c r="E21" s="93">
        <f>E14+C19</f>
        <v>31654.787007999999</v>
      </c>
    </row>
    <row r="22" spans="1:5" x14ac:dyDescent="0.25">
      <c r="A22" s="30" t="s">
        <v>17</v>
      </c>
      <c r="B22" s="2"/>
      <c r="C22" s="2"/>
      <c r="D22" s="2"/>
      <c r="E22" s="2"/>
    </row>
    <row r="23" spans="1:5" ht="25.5" x14ac:dyDescent="0.25">
      <c r="A23" s="33" t="s">
        <v>18</v>
      </c>
      <c r="B23" s="49" t="s">
        <v>19</v>
      </c>
      <c r="C23" s="49" t="s">
        <v>20</v>
      </c>
      <c r="D23" s="83" t="s">
        <v>21</v>
      </c>
      <c r="E23" s="2"/>
    </row>
    <row r="24" spans="1:5" x14ac:dyDescent="0.25">
      <c r="A24" s="41" t="s">
        <v>82</v>
      </c>
      <c r="B24" s="42">
        <v>1</v>
      </c>
      <c r="C24" s="43">
        <f>250*1.2</f>
        <v>300</v>
      </c>
      <c r="D24" s="69">
        <f t="shared" ref="D24:D27" si="1">C24*B24</f>
        <v>300</v>
      </c>
      <c r="E24" s="2"/>
    </row>
    <row r="25" spans="1:5" x14ac:dyDescent="0.25">
      <c r="A25" s="102" t="s">
        <v>88</v>
      </c>
      <c r="B25" s="106">
        <v>1</v>
      </c>
      <c r="C25" s="192">
        <v>700</v>
      </c>
      <c r="D25" s="193">
        <f t="shared" si="1"/>
        <v>700</v>
      </c>
      <c r="E25" s="2"/>
    </row>
    <row r="26" spans="1:5" x14ac:dyDescent="0.25">
      <c r="A26" s="102" t="s">
        <v>138</v>
      </c>
      <c r="B26" s="106">
        <v>1</v>
      </c>
      <c r="C26" s="192">
        <v>1500</v>
      </c>
      <c r="D26" s="193">
        <f t="shared" si="1"/>
        <v>1500</v>
      </c>
      <c r="E26" s="2"/>
    </row>
    <row r="27" spans="1:5" x14ac:dyDescent="0.25">
      <c r="A27" s="240" t="s">
        <v>139</v>
      </c>
      <c r="B27" s="242">
        <v>1</v>
      </c>
      <c r="C27" s="192">
        <v>1500</v>
      </c>
      <c r="D27" s="193">
        <f t="shared" si="1"/>
        <v>1500</v>
      </c>
      <c r="E27" s="2"/>
    </row>
    <row r="28" spans="1:5" x14ac:dyDescent="0.25">
      <c r="A28" s="5"/>
      <c r="B28" s="2"/>
      <c r="C28" s="55" t="s">
        <v>22</v>
      </c>
      <c r="D28" s="68">
        <f>SUM(D24:D27)</f>
        <v>4000</v>
      </c>
    </row>
    <row r="29" spans="1:5" x14ac:dyDescent="0.25">
      <c r="A29" s="30" t="s">
        <v>23</v>
      </c>
      <c r="B29" s="2"/>
      <c r="C29" s="2"/>
      <c r="D29" s="2"/>
    </row>
    <row r="30" spans="1:5" ht="25.5" x14ac:dyDescent="0.25">
      <c r="A30" s="44" t="s">
        <v>18</v>
      </c>
      <c r="B30" s="45" t="s">
        <v>19</v>
      </c>
      <c r="C30" s="38" t="s">
        <v>20</v>
      </c>
      <c r="D30" s="83" t="s">
        <v>21</v>
      </c>
    </row>
    <row r="31" spans="1:5" x14ac:dyDescent="0.25">
      <c r="A31" s="31" t="s">
        <v>24</v>
      </c>
      <c r="B31" s="104" t="s">
        <v>83</v>
      </c>
      <c r="C31" s="43">
        <v>2000</v>
      </c>
      <c r="D31" s="70">
        <f>C31</f>
        <v>2000</v>
      </c>
    </row>
    <row r="32" spans="1:5" x14ac:dyDescent="0.25">
      <c r="A32" s="244" t="s">
        <v>25</v>
      </c>
      <c r="B32" s="242" t="s">
        <v>83</v>
      </c>
      <c r="C32" s="43">
        <v>1000</v>
      </c>
      <c r="D32" s="71">
        <f>C32</f>
        <v>1000</v>
      </c>
    </row>
    <row r="33" spans="1:5" x14ac:dyDescent="0.25">
      <c r="A33" s="5"/>
      <c r="B33" s="2"/>
      <c r="C33" s="55" t="s">
        <v>26</v>
      </c>
      <c r="D33" s="68">
        <f>SUM(D31:D32)</f>
        <v>3000</v>
      </c>
    </row>
    <row r="34" spans="1:5" x14ac:dyDescent="0.25">
      <c r="A34" s="6" t="s">
        <v>27</v>
      </c>
      <c r="B34" s="2"/>
      <c r="C34" s="2"/>
      <c r="D34" s="2"/>
    </row>
    <row r="35" spans="1:5" ht="25.5" x14ac:dyDescent="0.25">
      <c r="A35" s="33" t="s">
        <v>18</v>
      </c>
      <c r="B35" s="33" t="s">
        <v>28</v>
      </c>
      <c r="C35" s="33" t="s">
        <v>29</v>
      </c>
      <c r="D35" s="83" t="s">
        <v>21</v>
      </c>
    </row>
    <row r="36" spans="1:5" x14ac:dyDescent="0.25">
      <c r="A36" s="10" t="s">
        <v>30</v>
      </c>
      <c r="B36" s="46">
        <v>7</v>
      </c>
      <c r="C36" s="43">
        <v>600</v>
      </c>
      <c r="D36" s="73">
        <f>C36*B36+(750*2)</f>
        <v>5700</v>
      </c>
      <c r="E36" s="1"/>
    </row>
    <row r="37" spans="1:5" x14ac:dyDescent="0.25">
      <c r="A37" s="109" t="s">
        <v>183</v>
      </c>
      <c r="B37" s="194" t="s">
        <v>83</v>
      </c>
      <c r="C37" s="43">
        <v>1500</v>
      </c>
      <c r="D37" s="73">
        <f>C37</f>
        <v>1500</v>
      </c>
      <c r="E37" s="1"/>
    </row>
    <row r="38" spans="1:5" x14ac:dyDescent="0.25">
      <c r="A38" s="10" t="s">
        <v>89</v>
      </c>
      <c r="B38" s="46">
        <v>7</v>
      </c>
      <c r="C38" s="43">
        <v>500</v>
      </c>
      <c r="D38" s="73">
        <f t="shared" ref="D38:D41" si="2">C38*B38</f>
        <v>3500</v>
      </c>
      <c r="E38" s="1"/>
    </row>
    <row r="39" spans="1:5" x14ac:dyDescent="0.25">
      <c r="A39" s="10" t="s">
        <v>90</v>
      </c>
      <c r="B39" s="46">
        <v>7</v>
      </c>
      <c r="C39" s="43">
        <f>40.1*1.2</f>
        <v>48.12</v>
      </c>
      <c r="D39" s="73">
        <f t="shared" si="2"/>
        <v>336.84</v>
      </c>
      <c r="E39" s="1"/>
    </row>
    <row r="40" spans="1:5" x14ac:dyDescent="0.25">
      <c r="A40" s="109" t="s">
        <v>98</v>
      </c>
      <c r="B40" s="194" t="s">
        <v>136</v>
      </c>
      <c r="C40" s="192">
        <f>(7*100)</f>
        <v>700</v>
      </c>
      <c r="D40" s="195">
        <f>C40</f>
        <v>700</v>
      </c>
      <c r="E40" s="1"/>
    </row>
    <row r="41" spans="1:5" x14ac:dyDescent="0.25">
      <c r="A41" s="10" t="s">
        <v>91</v>
      </c>
      <c r="B41" s="46">
        <v>7</v>
      </c>
      <c r="C41" s="43">
        <f>452*1.04</f>
        <v>470.08000000000004</v>
      </c>
      <c r="D41" s="73">
        <f t="shared" si="2"/>
        <v>3290.5600000000004</v>
      </c>
      <c r="E41" s="1"/>
    </row>
    <row r="42" spans="1:5" x14ac:dyDescent="0.25">
      <c r="A42" s="10" t="s">
        <v>92</v>
      </c>
      <c r="B42" s="46" t="s">
        <v>83</v>
      </c>
      <c r="C42" s="43">
        <f>7*1.5*30*4</f>
        <v>1260</v>
      </c>
      <c r="D42" s="73">
        <f t="shared" ref="D42" si="3">C42</f>
        <v>1260</v>
      </c>
      <c r="E42" s="1"/>
    </row>
    <row r="43" spans="1:5" x14ac:dyDescent="0.25">
      <c r="A43" s="201" t="s">
        <v>142</v>
      </c>
      <c r="B43" s="194" t="s">
        <v>83</v>
      </c>
      <c r="C43" s="192">
        <v>5388.4000000000005</v>
      </c>
      <c r="D43" s="195">
        <f>C43</f>
        <v>5388.4000000000005</v>
      </c>
      <c r="E43" s="1"/>
    </row>
    <row r="44" spans="1:5" x14ac:dyDescent="0.25">
      <c r="A44" s="1"/>
      <c r="B44" s="58" t="s">
        <v>31</v>
      </c>
      <c r="C44" s="59"/>
      <c r="D44" s="68">
        <f>SUM(D36:D43)</f>
        <v>21675.800000000003</v>
      </c>
      <c r="E44" s="1"/>
    </row>
    <row r="45" spans="1:5" x14ac:dyDescent="0.25">
      <c r="A45" s="1"/>
      <c r="B45" s="1"/>
      <c r="C45" s="1"/>
      <c r="D45" s="1"/>
      <c r="E45" s="1"/>
    </row>
    <row r="46" spans="1:5" x14ac:dyDescent="0.25">
      <c r="A46" s="1"/>
      <c r="B46" s="95" t="s">
        <v>32</v>
      </c>
      <c r="C46" s="96"/>
      <c r="D46" s="97"/>
      <c r="E46" s="98">
        <f>E21+D28+D33+D44</f>
        <v>60330.587008000002</v>
      </c>
    </row>
    <row r="47" spans="1:5" x14ac:dyDescent="0.25">
      <c r="A47" s="56" t="s">
        <v>33</v>
      </c>
      <c r="B47" s="57"/>
      <c r="C47" s="57"/>
      <c r="D47" s="57"/>
      <c r="E47" s="57"/>
    </row>
    <row r="48" spans="1:5" x14ac:dyDescent="0.25">
      <c r="A48" s="2"/>
      <c r="B48" s="2"/>
      <c r="C48" s="2"/>
      <c r="D48" s="2"/>
      <c r="E48" s="2"/>
    </row>
    <row r="49" spans="1:5" ht="38.25" x14ac:dyDescent="0.25">
      <c r="A49" s="49" t="s">
        <v>18</v>
      </c>
      <c r="B49" s="49" t="s">
        <v>34</v>
      </c>
      <c r="C49" s="49" t="s">
        <v>35</v>
      </c>
      <c r="D49" s="83" t="s">
        <v>21</v>
      </c>
      <c r="E49" s="2"/>
    </row>
    <row r="50" spans="1:5" x14ac:dyDescent="0.25">
      <c r="A50" s="10" t="s">
        <v>93</v>
      </c>
      <c r="B50" s="47">
        <v>0.08</v>
      </c>
      <c r="C50" s="72">
        <f>B50*E46</f>
        <v>4826.4469606400007</v>
      </c>
      <c r="D50" s="72">
        <f>C50</f>
        <v>4826.4469606400007</v>
      </c>
      <c r="E50" s="2"/>
    </row>
    <row r="51" spans="1:5" x14ac:dyDescent="0.25">
      <c r="A51" s="10" t="s">
        <v>94</v>
      </c>
      <c r="B51" s="39">
        <v>0.01</v>
      </c>
      <c r="C51" s="74">
        <f>B51*E46</f>
        <v>603.30587008000009</v>
      </c>
      <c r="D51" s="74">
        <f>C51</f>
        <v>603.30587008000009</v>
      </c>
      <c r="E51" s="2"/>
    </row>
    <row r="52" spans="1:5" x14ac:dyDescent="0.25">
      <c r="A52" s="86" t="s">
        <v>95</v>
      </c>
      <c r="B52" s="48">
        <v>0.08</v>
      </c>
      <c r="C52" s="75">
        <f>B52*E46</f>
        <v>4826.4469606400007</v>
      </c>
      <c r="D52" s="74">
        <f>C52</f>
        <v>4826.4469606400007</v>
      </c>
      <c r="E52" s="2"/>
    </row>
    <row r="53" spans="1:5" x14ac:dyDescent="0.25">
      <c r="A53" s="87"/>
      <c r="B53" s="40"/>
      <c r="C53" s="76">
        <v>0</v>
      </c>
      <c r="D53" s="76">
        <v>0</v>
      </c>
      <c r="E53" s="2"/>
    </row>
    <row r="54" spans="1:5" x14ac:dyDescent="0.25">
      <c r="A54" s="14"/>
      <c r="B54" s="14"/>
      <c r="C54" s="60" t="s">
        <v>36</v>
      </c>
      <c r="D54" s="68">
        <f>SUM(D50:D53)</f>
        <v>10256.199791360003</v>
      </c>
      <c r="E54" s="2"/>
    </row>
    <row r="55" spans="1:5" x14ac:dyDescent="0.25">
      <c r="A55" s="2"/>
      <c r="B55" s="2"/>
      <c r="C55" s="2"/>
      <c r="D55" s="2"/>
      <c r="E55" s="2"/>
    </row>
    <row r="56" spans="1:5" x14ac:dyDescent="0.25">
      <c r="A56" s="56" t="s">
        <v>37</v>
      </c>
      <c r="B56" s="57"/>
      <c r="C56" s="57"/>
      <c r="D56" s="57"/>
      <c r="E56" s="57"/>
    </row>
    <row r="57" spans="1:5" x14ac:dyDescent="0.25">
      <c r="A57" s="2"/>
      <c r="B57" s="2"/>
      <c r="C57" s="2"/>
      <c r="D57" s="2"/>
      <c r="E57" s="2"/>
    </row>
    <row r="58" spans="1:5" ht="25.5" x14ac:dyDescent="0.25">
      <c r="A58" s="49" t="s">
        <v>18</v>
      </c>
      <c r="B58" s="49" t="s">
        <v>38</v>
      </c>
      <c r="C58" s="49" t="s">
        <v>35</v>
      </c>
      <c r="D58" s="83" t="s">
        <v>21</v>
      </c>
      <c r="E58" s="2"/>
    </row>
    <row r="59" spans="1:5" x14ac:dyDescent="0.25">
      <c r="A59" s="199" t="s">
        <v>96</v>
      </c>
      <c r="B59" s="47">
        <v>7.6799999999999993E-2</v>
      </c>
      <c r="C59" s="72">
        <f>B59*E46</f>
        <v>4633.3890822143994</v>
      </c>
      <c r="D59" s="72">
        <f>C59</f>
        <v>4633.3890822143994</v>
      </c>
      <c r="E59" s="2"/>
    </row>
    <row r="60" spans="1:5" x14ac:dyDescent="0.25">
      <c r="A60" s="10"/>
      <c r="B60" s="39"/>
      <c r="C60" s="74">
        <v>0</v>
      </c>
      <c r="D60" s="74">
        <v>0</v>
      </c>
      <c r="E60" s="2"/>
    </row>
    <row r="61" spans="1:5" x14ac:dyDescent="0.25">
      <c r="A61" s="88"/>
      <c r="B61" s="51"/>
      <c r="C61" s="77">
        <v>0</v>
      </c>
      <c r="D61" s="77">
        <v>0</v>
      </c>
      <c r="E61" s="2"/>
    </row>
    <row r="62" spans="1:5" x14ac:dyDescent="0.25">
      <c r="A62" s="14"/>
      <c r="B62" s="58" t="s">
        <v>39</v>
      </c>
      <c r="C62" s="59"/>
      <c r="D62" s="68">
        <f>SUM(D59:D61)</f>
        <v>4633.3890822143994</v>
      </c>
      <c r="E62" s="2"/>
    </row>
    <row r="63" spans="1:5" x14ac:dyDescent="0.25">
      <c r="A63" s="2"/>
      <c r="B63" s="2"/>
      <c r="C63" s="2"/>
      <c r="D63" s="2"/>
      <c r="E63" s="2"/>
    </row>
    <row r="64" spans="1:5" x14ac:dyDescent="0.25">
      <c r="A64" s="56" t="s">
        <v>40</v>
      </c>
      <c r="B64" s="57"/>
      <c r="C64" s="57"/>
      <c r="D64" s="57"/>
      <c r="E64" s="57"/>
    </row>
    <row r="65" spans="1:9" x14ac:dyDescent="0.25">
      <c r="A65" s="2"/>
      <c r="B65" s="2"/>
      <c r="C65" s="2"/>
      <c r="D65" s="2"/>
      <c r="E65" s="2"/>
    </row>
    <row r="66" spans="1:9" x14ac:dyDescent="0.25">
      <c r="A66" s="11" t="s">
        <v>41</v>
      </c>
      <c r="B66" s="12"/>
      <c r="C66" s="12"/>
      <c r="D66" s="13"/>
      <c r="E66" s="78">
        <f>E46+D54+D62</f>
        <v>75220.175881574411</v>
      </c>
    </row>
    <row r="67" spans="1:9" x14ac:dyDescent="0.25">
      <c r="A67" s="2"/>
      <c r="B67" s="2"/>
      <c r="C67" s="2"/>
      <c r="D67" s="2"/>
      <c r="E67" s="2"/>
    </row>
    <row r="68" spans="1:9" x14ac:dyDescent="0.25">
      <c r="A68" s="56" t="s">
        <v>42</v>
      </c>
      <c r="B68" s="57"/>
      <c r="C68" s="57"/>
      <c r="D68" s="57"/>
      <c r="E68" s="85"/>
      <c r="I68">
        <v>744297.02</v>
      </c>
    </row>
    <row r="69" spans="1:9" x14ac:dyDescent="0.25">
      <c r="A69" s="2"/>
      <c r="B69" s="2"/>
      <c r="C69" s="2"/>
      <c r="D69" s="2"/>
      <c r="E69" s="2"/>
      <c r="I69">
        <v>845982.86</v>
      </c>
    </row>
    <row r="70" spans="1:9" x14ac:dyDescent="0.25">
      <c r="A70" s="49" t="s">
        <v>18</v>
      </c>
      <c r="B70" s="49" t="s">
        <v>38</v>
      </c>
      <c r="C70" s="2"/>
      <c r="D70" s="2"/>
      <c r="E70" s="2"/>
      <c r="I70">
        <v>602846.42000000004</v>
      </c>
    </row>
    <row r="71" spans="1:9" x14ac:dyDescent="0.25">
      <c r="A71" s="17" t="s">
        <v>43</v>
      </c>
      <c r="B71" s="47">
        <v>0.05</v>
      </c>
      <c r="C71" s="2"/>
      <c r="D71" s="2"/>
      <c r="E71" s="2"/>
      <c r="I71">
        <v>319970.05</v>
      </c>
    </row>
    <row r="72" spans="1:9" x14ac:dyDescent="0.25">
      <c r="A72" s="18" t="s">
        <v>44</v>
      </c>
      <c r="B72" s="39">
        <v>6.4999999999999997E-3</v>
      </c>
      <c r="C72" s="2"/>
      <c r="D72" s="2"/>
      <c r="E72" s="196"/>
      <c r="I72">
        <v>938523.2</v>
      </c>
    </row>
    <row r="73" spans="1:9" x14ac:dyDescent="0.25">
      <c r="A73" s="4" t="s">
        <v>45</v>
      </c>
      <c r="B73" s="51">
        <v>0.03</v>
      </c>
      <c r="C73" s="2"/>
      <c r="D73" s="2"/>
      <c r="E73" s="2"/>
      <c r="I73" s="243">
        <f>SUM(I68:I72,)</f>
        <v>3451619.55</v>
      </c>
    </row>
    <row r="74" spans="1:9" x14ac:dyDescent="0.25">
      <c r="A74" s="2"/>
      <c r="B74" s="15"/>
      <c r="C74" s="2"/>
      <c r="D74" s="2"/>
      <c r="E74" s="2"/>
    </row>
    <row r="75" spans="1:9" ht="27.75" customHeight="1" x14ac:dyDescent="0.25">
      <c r="A75" s="16" t="s">
        <v>46</v>
      </c>
      <c r="B75" s="79">
        <f>SUM(B71:B73)</f>
        <v>8.6499999999999994E-2</v>
      </c>
      <c r="C75" s="2"/>
      <c r="D75" s="2"/>
      <c r="E75" s="197"/>
    </row>
    <row r="76" spans="1:9" x14ac:dyDescent="0.25">
      <c r="A76" s="2"/>
      <c r="B76" s="2"/>
      <c r="C76" s="2"/>
      <c r="D76" s="2"/>
      <c r="E76" s="2"/>
    </row>
    <row r="77" spans="1:9" x14ac:dyDescent="0.25">
      <c r="A77" s="56" t="s">
        <v>47</v>
      </c>
      <c r="B77" s="57"/>
      <c r="C77" s="57"/>
      <c r="D77" s="57"/>
      <c r="E77" s="198">
        <f>E66*1.0865</f>
        <v>81726.721095330606</v>
      </c>
    </row>
    <row r="78" spans="1:9" x14ac:dyDescent="0.25">
      <c r="A78" s="3"/>
      <c r="B78" s="2"/>
      <c r="C78" s="2"/>
      <c r="D78" s="2"/>
      <c r="E78" s="2"/>
    </row>
    <row r="79" spans="1:9" ht="15.75" x14ac:dyDescent="0.25">
      <c r="A79" s="50" t="s">
        <v>65</v>
      </c>
      <c r="B79" s="52"/>
      <c r="C79" s="52"/>
      <c r="D79" s="53"/>
      <c r="E79" s="80">
        <f>E77</f>
        <v>81726.721095330606</v>
      </c>
    </row>
    <row r="80" spans="1:9" x14ac:dyDescent="0.25">
      <c r="A80" s="94" t="s">
        <v>48</v>
      </c>
      <c r="B80" s="2"/>
      <c r="C80" s="2"/>
      <c r="D80" s="2"/>
      <c r="E80" s="2"/>
    </row>
    <row r="81" spans="1:5" x14ac:dyDescent="0.25">
      <c r="A81" s="26" t="s">
        <v>49</v>
      </c>
      <c r="B81" s="1"/>
      <c r="C81" s="1"/>
      <c r="D81" s="1"/>
      <c r="E81" s="1"/>
    </row>
    <row r="82" spans="1:5" x14ac:dyDescent="0.25">
      <c r="A82" s="27" t="s">
        <v>50</v>
      </c>
      <c r="B82" s="2"/>
      <c r="C82" s="2"/>
      <c r="D82" s="2"/>
      <c r="E82" s="2"/>
    </row>
    <row r="83" spans="1:5" x14ac:dyDescent="0.25">
      <c r="A83" s="27" t="s">
        <v>51</v>
      </c>
      <c r="B83" s="2"/>
      <c r="C83" s="2"/>
      <c r="D83" s="2"/>
      <c r="E83" s="2"/>
    </row>
    <row r="84" spans="1:5" x14ac:dyDescent="0.25">
      <c r="A84" s="27" t="s">
        <v>52</v>
      </c>
    </row>
    <row r="85" spans="1:5" x14ac:dyDescent="0.25">
      <c r="A85" s="27" t="s">
        <v>53</v>
      </c>
    </row>
    <row r="86" spans="1:5" x14ac:dyDescent="0.25">
      <c r="A86" s="27" t="s">
        <v>54</v>
      </c>
    </row>
    <row r="87" spans="1:5" x14ac:dyDescent="0.25">
      <c r="A87" s="27" t="s">
        <v>55</v>
      </c>
    </row>
    <row r="88" spans="1:5" x14ac:dyDescent="0.25">
      <c r="A88" s="26" t="s">
        <v>56</v>
      </c>
    </row>
    <row r="89" spans="1:5" x14ac:dyDescent="0.25">
      <c r="A89" s="27" t="s">
        <v>57</v>
      </c>
    </row>
    <row r="90" spans="1:5" x14ac:dyDescent="0.25">
      <c r="A90" s="27" t="s">
        <v>58</v>
      </c>
    </row>
    <row r="91" spans="1:5" x14ac:dyDescent="0.25">
      <c r="A91" s="29">
        <v>2</v>
      </c>
    </row>
    <row r="92" spans="1:5" x14ac:dyDescent="0.25">
      <c r="A92" s="27" t="s">
        <v>59</v>
      </c>
    </row>
    <row r="93" spans="1:5" x14ac:dyDescent="0.25">
      <c r="A93" s="29">
        <v>3</v>
      </c>
    </row>
    <row r="94" spans="1:5" x14ac:dyDescent="0.25">
      <c r="A94" s="27" t="s">
        <v>60</v>
      </c>
    </row>
    <row r="95" spans="1:5" x14ac:dyDescent="0.25">
      <c r="A95" s="29">
        <v>5</v>
      </c>
    </row>
    <row r="96" spans="1:5" x14ac:dyDescent="0.25">
      <c r="A96" s="27" t="s">
        <v>61</v>
      </c>
    </row>
    <row r="97" spans="1:1" x14ac:dyDescent="0.25">
      <c r="A97" s="27"/>
    </row>
    <row r="98" spans="1:1" x14ac:dyDescent="0.25">
      <c r="A98" s="28" t="s">
        <v>62</v>
      </c>
    </row>
    <row r="99" spans="1:1" x14ac:dyDescent="0.25">
      <c r="A99" s="2"/>
    </row>
    <row r="100" spans="1:1" x14ac:dyDescent="0.25">
      <c r="A100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67" orientation="portrait" r:id="rId1"/>
  <rowBreaks count="1" manualBreakCount="1">
    <brk id="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0"/>
  <sheetViews>
    <sheetView workbookViewId="0">
      <selection activeCell="E39" sqref="A19:E39"/>
    </sheetView>
  </sheetViews>
  <sheetFormatPr defaultColWidth="7.85546875" defaultRowHeight="15" x14ac:dyDescent="0.2"/>
  <cols>
    <col min="1" max="1" width="26.42578125" style="110" customWidth="1"/>
    <col min="2" max="2" width="12.28515625" style="110" customWidth="1"/>
    <col min="3" max="3" width="14.85546875" style="110" customWidth="1"/>
    <col min="4" max="4" width="14.42578125" style="110" customWidth="1"/>
    <col min="5" max="6" width="15.140625" style="110" customWidth="1"/>
    <col min="7" max="7" width="16.42578125" style="110" bestFit="1" customWidth="1"/>
    <col min="8" max="8" width="13.7109375" style="110" customWidth="1"/>
    <col min="9" max="9" width="16.28515625" style="110" customWidth="1"/>
    <col min="10" max="10" width="24.28515625" style="110" customWidth="1"/>
    <col min="11" max="253" width="7.85546875" style="110"/>
    <col min="254" max="254" width="26.42578125" style="110" customWidth="1"/>
    <col min="255" max="255" width="12.28515625" style="110" customWidth="1"/>
    <col min="256" max="256" width="14.85546875" style="110" customWidth="1"/>
    <col min="257" max="257" width="14.42578125" style="110" customWidth="1"/>
    <col min="258" max="260" width="15.140625" style="110" customWidth="1"/>
    <col min="261" max="261" width="13.7109375" style="110" customWidth="1"/>
    <col min="262" max="262" width="16.28515625" style="110" customWidth="1"/>
    <col min="263" max="266" width="7.85546875" style="110"/>
    <col min="267" max="267" width="14.7109375" style="110" bestFit="1" customWidth="1"/>
    <col min="268" max="509" width="7.85546875" style="110"/>
    <col min="510" max="510" width="26.42578125" style="110" customWidth="1"/>
    <col min="511" max="511" width="12.28515625" style="110" customWidth="1"/>
    <col min="512" max="512" width="14.85546875" style="110" customWidth="1"/>
    <col min="513" max="513" width="14.42578125" style="110" customWidth="1"/>
    <col min="514" max="516" width="15.140625" style="110" customWidth="1"/>
    <col min="517" max="517" width="13.7109375" style="110" customWidth="1"/>
    <col min="518" max="518" width="16.28515625" style="110" customWidth="1"/>
    <col min="519" max="522" width="7.85546875" style="110"/>
    <col min="523" max="523" width="14.7109375" style="110" bestFit="1" customWidth="1"/>
    <col min="524" max="765" width="7.85546875" style="110"/>
    <col min="766" max="766" width="26.42578125" style="110" customWidth="1"/>
    <col min="767" max="767" width="12.28515625" style="110" customWidth="1"/>
    <col min="768" max="768" width="14.85546875" style="110" customWidth="1"/>
    <col min="769" max="769" width="14.42578125" style="110" customWidth="1"/>
    <col min="770" max="772" width="15.140625" style="110" customWidth="1"/>
    <col min="773" max="773" width="13.7109375" style="110" customWidth="1"/>
    <col min="774" max="774" width="16.28515625" style="110" customWidth="1"/>
    <col min="775" max="778" width="7.85546875" style="110"/>
    <col min="779" max="779" width="14.7109375" style="110" bestFit="1" customWidth="1"/>
    <col min="780" max="1021" width="7.85546875" style="110"/>
    <col min="1022" max="1022" width="26.42578125" style="110" customWidth="1"/>
    <col min="1023" max="1023" width="12.28515625" style="110" customWidth="1"/>
    <col min="1024" max="1024" width="14.85546875" style="110" customWidth="1"/>
    <col min="1025" max="1025" width="14.42578125" style="110" customWidth="1"/>
    <col min="1026" max="1028" width="15.140625" style="110" customWidth="1"/>
    <col min="1029" max="1029" width="13.7109375" style="110" customWidth="1"/>
    <col min="1030" max="1030" width="16.28515625" style="110" customWidth="1"/>
    <col min="1031" max="1034" width="7.85546875" style="110"/>
    <col min="1035" max="1035" width="14.7109375" style="110" bestFit="1" customWidth="1"/>
    <col min="1036" max="1277" width="7.85546875" style="110"/>
    <col min="1278" max="1278" width="26.42578125" style="110" customWidth="1"/>
    <col min="1279" max="1279" width="12.28515625" style="110" customWidth="1"/>
    <col min="1280" max="1280" width="14.85546875" style="110" customWidth="1"/>
    <col min="1281" max="1281" width="14.42578125" style="110" customWidth="1"/>
    <col min="1282" max="1284" width="15.140625" style="110" customWidth="1"/>
    <col min="1285" max="1285" width="13.7109375" style="110" customWidth="1"/>
    <col min="1286" max="1286" width="16.28515625" style="110" customWidth="1"/>
    <col min="1287" max="1290" width="7.85546875" style="110"/>
    <col min="1291" max="1291" width="14.7109375" style="110" bestFit="1" customWidth="1"/>
    <col min="1292" max="1533" width="7.85546875" style="110"/>
    <col min="1534" max="1534" width="26.42578125" style="110" customWidth="1"/>
    <col min="1535" max="1535" width="12.28515625" style="110" customWidth="1"/>
    <col min="1536" max="1536" width="14.85546875" style="110" customWidth="1"/>
    <col min="1537" max="1537" width="14.42578125" style="110" customWidth="1"/>
    <col min="1538" max="1540" width="15.140625" style="110" customWidth="1"/>
    <col min="1541" max="1541" width="13.7109375" style="110" customWidth="1"/>
    <col min="1542" max="1542" width="16.28515625" style="110" customWidth="1"/>
    <col min="1543" max="1546" width="7.85546875" style="110"/>
    <col min="1547" max="1547" width="14.7109375" style="110" bestFit="1" customWidth="1"/>
    <col min="1548" max="1789" width="7.85546875" style="110"/>
    <col min="1790" max="1790" width="26.42578125" style="110" customWidth="1"/>
    <col min="1791" max="1791" width="12.28515625" style="110" customWidth="1"/>
    <col min="1792" max="1792" width="14.85546875" style="110" customWidth="1"/>
    <col min="1793" max="1793" width="14.42578125" style="110" customWidth="1"/>
    <col min="1794" max="1796" width="15.140625" style="110" customWidth="1"/>
    <col min="1797" max="1797" width="13.7109375" style="110" customWidth="1"/>
    <col min="1798" max="1798" width="16.28515625" style="110" customWidth="1"/>
    <col min="1799" max="1802" width="7.85546875" style="110"/>
    <col min="1803" max="1803" width="14.7109375" style="110" bestFit="1" customWidth="1"/>
    <col min="1804" max="2045" width="7.85546875" style="110"/>
    <col min="2046" max="2046" width="26.42578125" style="110" customWidth="1"/>
    <col min="2047" max="2047" width="12.28515625" style="110" customWidth="1"/>
    <col min="2048" max="2048" width="14.85546875" style="110" customWidth="1"/>
    <col min="2049" max="2049" width="14.42578125" style="110" customWidth="1"/>
    <col min="2050" max="2052" width="15.140625" style="110" customWidth="1"/>
    <col min="2053" max="2053" width="13.7109375" style="110" customWidth="1"/>
    <col min="2054" max="2054" width="16.28515625" style="110" customWidth="1"/>
    <col min="2055" max="2058" width="7.85546875" style="110"/>
    <col min="2059" max="2059" width="14.7109375" style="110" bestFit="1" customWidth="1"/>
    <col min="2060" max="2301" width="7.85546875" style="110"/>
    <col min="2302" max="2302" width="26.42578125" style="110" customWidth="1"/>
    <col min="2303" max="2303" width="12.28515625" style="110" customWidth="1"/>
    <col min="2304" max="2304" width="14.85546875" style="110" customWidth="1"/>
    <col min="2305" max="2305" width="14.42578125" style="110" customWidth="1"/>
    <col min="2306" max="2308" width="15.140625" style="110" customWidth="1"/>
    <col min="2309" max="2309" width="13.7109375" style="110" customWidth="1"/>
    <col min="2310" max="2310" width="16.28515625" style="110" customWidth="1"/>
    <col min="2311" max="2314" width="7.85546875" style="110"/>
    <col min="2315" max="2315" width="14.7109375" style="110" bestFit="1" customWidth="1"/>
    <col min="2316" max="2557" width="7.85546875" style="110"/>
    <col min="2558" max="2558" width="26.42578125" style="110" customWidth="1"/>
    <col min="2559" max="2559" width="12.28515625" style="110" customWidth="1"/>
    <col min="2560" max="2560" width="14.85546875" style="110" customWidth="1"/>
    <col min="2561" max="2561" width="14.42578125" style="110" customWidth="1"/>
    <col min="2562" max="2564" width="15.140625" style="110" customWidth="1"/>
    <col min="2565" max="2565" width="13.7109375" style="110" customWidth="1"/>
    <col min="2566" max="2566" width="16.28515625" style="110" customWidth="1"/>
    <col min="2567" max="2570" width="7.85546875" style="110"/>
    <col min="2571" max="2571" width="14.7109375" style="110" bestFit="1" customWidth="1"/>
    <col min="2572" max="2813" width="7.85546875" style="110"/>
    <col min="2814" max="2814" width="26.42578125" style="110" customWidth="1"/>
    <col min="2815" max="2815" width="12.28515625" style="110" customWidth="1"/>
    <col min="2816" max="2816" width="14.85546875" style="110" customWidth="1"/>
    <col min="2817" max="2817" width="14.42578125" style="110" customWidth="1"/>
    <col min="2818" max="2820" width="15.140625" style="110" customWidth="1"/>
    <col min="2821" max="2821" width="13.7109375" style="110" customWidth="1"/>
    <col min="2822" max="2822" width="16.28515625" style="110" customWidth="1"/>
    <col min="2823" max="2826" width="7.85546875" style="110"/>
    <col min="2827" max="2827" width="14.7109375" style="110" bestFit="1" customWidth="1"/>
    <col min="2828" max="3069" width="7.85546875" style="110"/>
    <col min="3070" max="3070" width="26.42578125" style="110" customWidth="1"/>
    <col min="3071" max="3071" width="12.28515625" style="110" customWidth="1"/>
    <col min="3072" max="3072" width="14.85546875" style="110" customWidth="1"/>
    <col min="3073" max="3073" width="14.42578125" style="110" customWidth="1"/>
    <col min="3074" max="3076" width="15.140625" style="110" customWidth="1"/>
    <col min="3077" max="3077" width="13.7109375" style="110" customWidth="1"/>
    <col min="3078" max="3078" width="16.28515625" style="110" customWidth="1"/>
    <col min="3079" max="3082" width="7.85546875" style="110"/>
    <col min="3083" max="3083" width="14.7109375" style="110" bestFit="1" customWidth="1"/>
    <col min="3084" max="3325" width="7.85546875" style="110"/>
    <col min="3326" max="3326" width="26.42578125" style="110" customWidth="1"/>
    <col min="3327" max="3327" width="12.28515625" style="110" customWidth="1"/>
    <col min="3328" max="3328" width="14.85546875" style="110" customWidth="1"/>
    <col min="3329" max="3329" width="14.42578125" style="110" customWidth="1"/>
    <col min="3330" max="3332" width="15.140625" style="110" customWidth="1"/>
    <col min="3333" max="3333" width="13.7109375" style="110" customWidth="1"/>
    <col min="3334" max="3334" width="16.28515625" style="110" customWidth="1"/>
    <col min="3335" max="3338" width="7.85546875" style="110"/>
    <col min="3339" max="3339" width="14.7109375" style="110" bestFit="1" customWidth="1"/>
    <col min="3340" max="3581" width="7.85546875" style="110"/>
    <col min="3582" max="3582" width="26.42578125" style="110" customWidth="1"/>
    <col min="3583" max="3583" width="12.28515625" style="110" customWidth="1"/>
    <col min="3584" max="3584" width="14.85546875" style="110" customWidth="1"/>
    <col min="3585" max="3585" width="14.42578125" style="110" customWidth="1"/>
    <col min="3586" max="3588" width="15.140625" style="110" customWidth="1"/>
    <col min="3589" max="3589" width="13.7109375" style="110" customWidth="1"/>
    <col min="3590" max="3590" width="16.28515625" style="110" customWidth="1"/>
    <col min="3591" max="3594" width="7.85546875" style="110"/>
    <col min="3595" max="3595" width="14.7109375" style="110" bestFit="1" customWidth="1"/>
    <col min="3596" max="3837" width="7.85546875" style="110"/>
    <col min="3838" max="3838" width="26.42578125" style="110" customWidth="1"/>
    <col min="3839" max="3839" width="12.28515625" style="110" customWidth="1"/>
    <col min="3840" max="3840" width="14.85546875" style="110" customWidth="1"/>
    <col min="3841" max="3841" width="14.42578125" style="110" customWidth="1"/>
    <col min="3842" max="3844" width="15.140625" style="110" customWidth="1"/>
    <col min="3845" max="3845" width="13.7109375" style="110" customWidth="1"/>
    <col min="3846" max="3846" width="16.28515625" style="110" customWidth="1"/>
    <col min="3847" max="3850" width="7.85546875" style="110"/>
    <col min="3851" max="3851" width="14.7109375" style="110" bestFit="1" customWidth="1"/>
    <col min="3852" max="4093" width="7.85546875" style="110"/>
    <col min="4094" max="4094" width="26.42578125" style="110" customWidth="1"/>
    <col min="4095" max="4095" width="12.28515625" style="110" customWidth="1"/>
    <col min="4096" max="4096" width="14.85546875" style="110" customWidth="1"/>
    <col min="4097" max="4097" width="14.42578125" style="110" customWidth="1"/>
    <col min="4098" max="4100" width="15.140625" style="110" customWidth="1"/>
    <col min="4101" max="4101" width="13.7109375" style="110" customWidth="1"/>
    <col min="4102" max="4102" width="16.28515625" style="110" customWidth="1"/>
    <col min="4103" max="4106" width="7.85546875" style="110"/>
    <col min="4107" max="4107" width="14.7109375" style="110" bestFit="1" customWidth="1"/>
    <col min="4108" max="4349" width="7.85546875" style="110"/>
    <col min="4350" max="4350" width="26.42578125" style="110" customWidth="1"/>
    <col min="4351" max="4351" width="12.28515625" style="110" customWidth="1"/>
    <col min="4352" max="4352" width="14.85546875" style="110" customWidth="1"/>
    <col min="4353" max="4353" width="14.42578125" style="110" customWidth="1"/>
    <col min="4354" max="4356" width="15.140625" style="110" customWidth="1"/>
    <col min="4357" max="4357" width="13.7109375" style="110" customWidth="1"/>
    <col min="4358" max="4358" width="16.28515625" style="110" customWidth="1"/>
    <col min="4359" max="4362" width="7.85546875" style="110"/>
    <col min="4363" max="4363" width="14.7109375" style="110" bestFit="1" customWidth="1"/>
    <col min="4364" max="4605" width="7.85546875" style="110"/>
    <col min="4606" max="4606" width="26.42578125" style="110" customWidth="1"/>
    <col min="4607" max="4607" width="12.28515625" style="110" customWidth="1"/>
    <col min="4608" max="4608" width="14.85546875" style="110" customWidth="1"/>
    <col min="4609" max="4609" width="14.42578125" style="110" customWidth="1"/>
    <col min="4610" max="4612" width="15.140625" style="110" customWidth="1"/>
    <col min="4613" max="4613" width="13.7109375" style="110" customWidth="1"/>
    <col min="4614" max="4614" width="16.28515625" style="110" customWidth="1"/>
    <col min="4615" max="4618" width="7.85546875" style="110"/>
    <col min="4619" max="4619" width="14.7109375" style="110" bestFit="1" customWidth="1"/>
    <col min="4620" max="4861" width="7.85546875" style="110"/>
    <col min="4862" max="4862" width="26.42578125" style="110" customWidth="1"/>
    <col min="4863" max="4863" width="12.28515625" style="110" customWidth="1"/>
    <col min="4864" max="4864" width="14.85546875" style="110" customWidth="1"/>
    <col min="4865" max="4865" width="14.42578125" style="110" customWidth="1"/>
    <col min="4866" max="4868" width="15.140625" style="110" customWidth="1"/>
    <col min="4869" max="4869" width="13.7109375" style="110" customWidth="1"/>
    <col min="4870" max="4870" width="16.28515625" style="110" customWidth="1"/>
    <col min="4871" max="4874" width="7.85546875" style="110"/>
    <col min="4875" max="4875" width="14.7109375" style="110" bestFit="1" customWidth="1"/>
    <col min="4876" max="5117" width="7.85546875" style="110"/>
    <col min="5118" max="5118" width="26.42578125" style="110" customWidth="1"/>
    <col min="5119" max="5119" width="12.28515625" style="110" customWidth="1"/>
    <col min="5120" max="5120" width="14.85546875" style="110" customWidth="1"/>
    <col min="5121" max="5121" width="14.42578125" style="110" customWidth="1"/>
    <col min="5122" max="5124" width="15.140625" style="110" customWidth="1"/>
    <col min="5125" max="5125" width="13.7109375" style="110" customWidth="1"/>
    <col min="5126" max="5126" width="16.28515625" style="110" customWidth="1"/>
    <col min="5127" max="5130" width="7.85546875" style="110"/>
    <col min="5131" max="5131" width="14.7109375" style="110" bestFit="1" customWidth="1"/>
    <col min="5132" max="5373" width="7.85546875" style="110"/>
    <col min="5374" max="5374" width="26.42578125" style="110" customWidth="1"/>
    <col min="5375" max="5375" width="12.28515625" style="110" customWidth="1"/>
    <col min="5376" max="5376" width="14.85546875" style="110" customWidth="1"/>
    <col min="5377" max="5377" width="14.42578125" style="110" customWidth="1"/>
    <col min="5378" max="5380" width="15.140625" style="110" customWidth="1"/>
    <col min="5381" max="5381" width="13.7109375" style="110" customWidth="1"/>
    <col min="5382" max="5382" width="16.28515625" style="110" customWidth="1"/>
    <col min="5383" max="5386" width="7.85546875" style="110"/>
    <col min="5387" max="5387" width="14.7109375" style="110" bestFit="1" customWidth="1"/>
    <col min="5388" max="5629" width="7.85546875" style="110"/>
    <col min="5630" max="5630" width="26.42578125" style="110" customWidth="1"/>
    <col min="5631" max="5631" width="12.28515625" style="110" customWidth="1"/>
    <col min="5632" max="5632" width="14.85546875" style="110" customWidth="1"/>
    <col min="5633" max="5633" width="14.42578125" style="110" customWidth="1"/>
    <col min="5634" max="5636" width="15.140625" style="110" customWidth="1"/>
    <col min="5637" max="5637" width="13.7109375" style="110" customWidth="1"/>
    <col min="5638" max="5638" width="16.28515625" style="110" customWidth="1"/>
    <col min="5639" max="5642" width="7.85546875" style="110"/>
    <col min="5643" max="5643" width="14.7109375" style="110" bestFit="1" customWidth="1"/>
    <col min="5644" max="5885" width="7.85546875" style="110"/>
    <col min="5886" max="5886" width="26.42578125" style="110" customWidth="1"/>
    <col min="5887" max="5887" width="12.28515625" style="110" customWidth="1"/>
    <col min="5888" max="5888" width="14.85546875" style="110" customWidth="1"/>
    <col min="5889" max="5889" width="14.42578125" style="110" customWidth="1"/>
    <col min="5890" max="5892" width="15.140625" style="110" customWidth="1"/>
    <col min="5893" max="5893" width="13.7109375" style="110" customWidth="1"/>
    <col min="5894" max="5894" width="16.28515625" style="110" customWidth="1"/>
    <col min="5895" max="5898" width="7.85546875" style="110"/>
    <col min="5899" max="5899" width="14.7109375" style="110" bestFit="1" customWidth="1"/>
    <col min="5900" max="6141" width="7.85546875" style="110"/>
    <col min="6142" max="6142" width="26.42578125" style="110" customWidth="1"/>
    <col min="6143" max="6143" width="12.28515625" style="110" customWidth="1"/>
    <col min="6144" max="6144" width="14.85546875" style="110" customWidth="1"/>
    <col min="6145" max="6145" width="14.42578125" style="110" customWidth="1"/>
    <col min="6146" max="6148" width="15.140625" style="110" customWidth="1"/>
    <col min="6149" max="6149" width="13.7109375" style="110" customWidth="1"/>
    <col min="6150" max="6150" width="16.28515625" style="110" customWidth="1"/>
    <col min="6151" max="6154" width="7.85546875" style="110"/>
    <col min="6155" max="6155" width="14.7109375" style="110" bestFit="1" customWidth="1"/>
    <col min="6156" max="6397" width="7.85546875" style="110"/>
    <col min="6398" max="6398" width="26.42578125" style="110" customWidth="1"/>
    <col min="6399" max="6399" width="12.28515625" style="110" customWidth="1"/>
    <col min="6400" max="6400" width="14.85546875" style="110" customWidth="1"/>
    <col min="6401" max="6401" width="14.42578125" style="110" customWidth="1"/>
    <col min="6402" max="6404" width="15.140625" style="110" customWidth="1"/>
    <col min="6405" max="6405" width="13.7109375" style="110" customWidth="1"/>
    <col min="6406" max="6406" width="16.28515625" style="110" customWidth="1"/>
    <col min="6407" max="6410" width="7.85546875" style="110"/>
    <col min="6411" max="6411" width="14.7109375" style="110" bestFit="1" customWidth="1"/>
    <col min="6412" max="6653" width="7.85546875" style="110"/>
    <col min="6654" max="6654" width="26.42578125" style="110" customWidth="1"/>
    <col min="6655" max="6655" width="12.28515625" style="110" customWidth="1"/>
    <col min="6656" max="6656" width="14.85546875" style="110" customWidth="1"/>
    <col min="6657" max="6657" width="14.42578125" style="110" customWidth="1"/>
    <col min="6658" max="6660" width="15.140625" style="110" customWidth="1"/>
    <col min="6661" max="6661" width="13.7109375" style="110" customWidth="1"/>
    <col min="6662" max="6662" width="16.28515625" style="110" customWidth="1"/>
    <col min="6663" max="6666" width="7.85546875" style="110"/>
    <col min="6667" max="6667" width="14.7109375" style="110" bestFit="1" customWidth="1"/>
    <col min="6668" max="6909" width="7.85546875" style="110"/>
    <col min="6910" max="6910" width="26.42578125" style="110" customWidth="1"/>
    <col min="6911" max="6911" width="12.28515625" style="110" customWidth="1"/>
    <col min="6912" max="6912" width="14.85546875" style="110" customWidth="1"/>
    <col min="6913" max="6913" width="14.42578125" style="110" customWidth="1"/>
    <col min="6914" max="6916" width="15.140625" style="110" customWidth="1"/>
    <col min="6917" max="6917" width="13.7109375" style="110" customWidth="1"/>
    <col min="6918" max="6918" width="16.28515625" style="110" customWidth="1"/>
    <col min="6919" max="6922" width="7.85546875" style="110"/>
    <col min="6923" max="6923" width="14.7109375" style="110" bestFit="1" customWidth="1"/>
    <col min="6924" max="7165" width="7.85546875" style="110"/>
    <col min="7166" max="7166" width="26.42578125" style="110" customWidth="1"/>
    <col min="7167" max="7167" width="12.28515625" style="110" customWidth="1"/>
    <col min="7168" max="7168" width="14.85546875" style="110" customWidth="1"/>
    <col min="7169" max="7169" width="14.42578125" style="110" customWidth="1"/>
    <col min="7170" max="7172" width="15.140625" style="110" customWidth="1"/>
    <col min="7173" max="7173" width="13.7109375" style="110" customWidth="1"/>
    <col min="7174" max="7174" width="16.28515625" style="110" customWidth="1"/>
    <col min="7175" max="7178" width="7.85546875" style="110"/>
    <col min="7179" max="7179" width="14.7109375" style="110" bestFit="1" customWidth="1"/>
    <col min="7180" max="7421" width="7.85546875" style="110"/>
    <col min="7422" max="7422" width="26.42578125" style="110" customWidth="1"/>
    <col min="7423" max="7423" width="12.28515625" style="110" customWidth="1"/>
    <col min="7424" max="7424" width="14.85546875" style="110" customWidth="1"/>
    <col min="7425" max="7425" width="14.42578125" style="110" customWidth="1"/>
    <col min="7426" max="7428" width="15.140625" style="110" customWidth="1"/>
    <col min="7429" max="7429" width="13.7109375" style="110" customWidth="1"/>
    <col min="7430" max="7430" width="16.28515625" style="110" customWidth="1"/>
    <col min="7431" max="7434" width="7.85546875" style="110"/>
    <col min="7435" max="7435" width="14.7109375" style="110" bestFit="1" customWidth="1"/>
    <col min="7436" max="7677" width="7.85546875" style="110"/>
    <col min="7678" max="7678" width="26.42578125" style="110" customWidth="1"/>
    <col min="7679" max="7679" width="12.28515625" style="110" customWidth="1"/>
    <col min="7680" max="7680" width="14.85546875" style="110" customWidth="1"/>
    <col min="7681" max="7681" width="14.42578125" style="110" customWidth="1"/>
    <col min="7682" max="7684" width="15.140625" style="110" customWidth="1"/>
    <col min="7685" max="7685" width="13.7109375" style="110" customWidth="1"/>
    <col min="7686" max="7686" width="16.28515625" style="110" customWidth="1"/>
    <col min="7687" max="7690" width="7.85546875" style="110"/>
    <col min="7691" max="7691" width="14.7109375" style="110" bestFit="1" customWidth="1"/>
    <col min="7692" max="7933" width="7.85546875" style="110"/>
    <col min="7934" max="7934" width="26.42578125" style="110" customWidth="1"/>
    <col min="7935" max="7935" width="12.28515625" style="110" customWidth="1"/>
    <col min="7936" max="7936" width="14.85546875" style="110" customWidth="1"/>
    <col min="7937" max="7937" width="14.42578125" style="110" customWidth="1"/>
    <col min="7938" max="7940" width="15.140625" style="110" customWidth="1"/>
    <col min="7941" max="7941" width="13.7109375" style="110" customWidth="1"/>
    <col min="7942" max="7942" width="16.28515625" style="110" customWidth="1"/>
    <col min="7943" max="7946" width="7.85546875" style="110"/>
    <col min="7947" max="7947" width="14.7109375" style="110" bestFit="1" customWidth="1"/>
    <col min="7948" max="8189" width="7.85546875" style="110"/>
    <col min="8190" max="8190" width="26.42578125" style="110" customWidth="1"/>
    <col min="8191" max="8191" width="12.28515625" style="110" customWidth="1"/>
    <col min="8192" max="8192" width="14.85546875" style="110" customWidth="1"/>
    <col min="8193" max="8193" width="14.42578125" style="110" customWidth="1"/>
    <col min="8194" max="8196" width="15.140625" style="110" customWidth="1"/>
    <col min="8197" max="8197" width="13.7109375" style="110" customWidth="1"/>
    <col min="8198" max="8198" width="16.28515625" style="110" customWidth="1"/>
    <col min="8199" max="8202" width="7.85546875" style="110"/>
    <col min="8203" max="8203" width="14.7109375" style="110" bestFit="1" customWidth="1"/>
    <col min="8204" max="8445" width="7.85546875" style="110"/>
    <col min="8446" max="8446" width="26.42578125" style="110" customWidth="1"/>
    <col min="8447" max="8447" width="12.28515625" style="110" customWidth="1"/>
    <col min="8448" max="8448" width="14.85546875" style="110" customWidth="1"/>
    <col min="8449" max="8449" width="14.42578125" style="110" customWidth="1"/>
    <col min="8450" max="8452" width="15.140625" style="110" customWidth="1"/>
    <col min="8453" max="8453" width="13.7109375" style="110" customWidth="1"/>
    <col min="8454" max="8454" width="16.28515625" style="110" customWidth="1"/>
    <col min="8455" max="8458" width="7.85546875" style="110"/>
    <col min="8459" max="8459" width="14.7109375" style="110" bestFit="1" customWidth="1"/>
    <col min="8460" max="8701" width="7.85546875" style="110"/>
    <col min="8702" max="8702" width="26.42578125" style="110" customWidth="1"/>
    <col min="8703" max="8703" width="12.28515625" style="110" customWidth="1"/>
    <col min="8704" max="8704" width="14.85546875" style="110" customWidth="1"/>
    <col min="8705" max="8705" width="14.42578125" style="110" customWidth="1"/>
    <col min="8706" max="8708" width="15.140625" style="110" customWidth="1"/>
    <col min="8709" max="8709" width="13.7109375" style="110" customWidth="1"/>
    <col min="8710" max="8710" width="16.28515625" style="110" customWidth="1"/>
    <col min="8711" max="8714" width="7.85546875" style="110"/>
    <col min="8715" max="8715" width="14.7109375" style="110" bestFit="1" customWidth="1"/>
    <col min="8716" max="8957" width="7.85546875" style="110"/>
    <col min="8958" max="8958" width="26.42578125" style="110" customWidth="1"/>
    <col min="8959" max="8959" width="12.28515625" style="110" customWidth="1"/>
    <col min="8960" max="8960" width="14.85546875" style="110" customWidth="1"/>
    <col min="8961" max="8961" width="14.42578125" style="110" customWidth="1"/>
    <col min="8962" max="8964" width="15.140625" style="110" customWidth="1"/>
    <col min="8965" max="8965" width="13.7109375" style="110" customWidth="1"/>
    <col min="8966" max="8966" width="16.28515625" style="110" customWidth="1"/>
    <col min="8967" max="8970" width="7.85546875" style="110"/>
    <col min="8971" max="8971" width="14.7109375" style="110" bestFit="1" customWidth="1"/>
    <col min="8972" max="9213" width="7.85546875" style="110"/>
    <col min="9214" max="9214" width="26.42578125" style="110" customWidth="1"/>
    <col min="9215" max="9215" width="12.28515625" style="110" customWidth="1"/>
    <col min="9216" max="9216" width="14.85546875" style="110" customWidth="1"/>
    <col min="9217" max="9217" width="14.42578125" style="110" customWidth="1"/>
    <col min="9218" max="9220" width="15.140625" style="110" customWidth="1"/>
    <col min="9221" max="9221" width="13.7109375" style="110" customWidth="1"/>
    <col min="9222" max="9222" width="16.28515625" style="110" customWidth="1"/>
    <col min="9223" max="9226" width="7.85546875" style="110"/>
    <col min="9227" max="9227" width="14.7109375" style="110" bestFit="1" customWidth="1"/>
    <col min="9228" max="9469" width="7.85546875" style="110"/>
    <col min="9470" max="9470" width="26.42578125" style="110" customWidth="1"/>
    <col min="9471" max="9471" width="12.28515625" style="110" customWidth="1"/>
    <col min="9472" max="9472" width="14.85546875" style="110" customWidth="1"/>
    <col min="9473" max="9473" width="14.42578125" style="110" customWidth="1"/>
    <col min="9474" max="9476" width="15.140625" style="110" customWidth="1"/>
    <col min="9477" max="9477" width="13.7109375" style="110" customWidth="1"/>
    <col min="9478" max="9478" width="16.28515625" style="110" customWidth="1"/>
    <col min="9479" max="9482" width="7.85546875" style="110"/>
    <col min="9483" max="9483" width="14.7109375" style="110" bestFit="1" customWidth="1"/>
    <col min="9484" max="9725" width="7.85546875" style="110"/>
    <col min="9726" max="9726" width="26.42578125" style="110" customWidth="1"/>
    <col min="9727" max="9727" width="12.28515625" style="110" customWidth="1"/>
    <col min="9728" max="9728" width="14.85546875" style="110" customWidth="1"/>
    <col min="9729" max="9729" width="14.42578125" style="110" customWidth="1"/>
    <col min="9730" max="9732" width="15.140625" style="110" customWidth="1"/>
    <col min="9733" max="9733" width="13.7109375" style="110" customWidth="1"/>
    <col min="9734" max="9734" width="16.28515625" style="110" customWidth="1"/>
    <col min="9735" max="9738" width="7.85546875" style="110"/>
    <col min="9739" max="9739" width="14.7109375" style="110" bestFit="1" customWidth="1"/>
    <col min="9740" max="9981" width="7.85546875" style="110"/>
    <col min="9982" max="9982" width="26.42578125" style="110" customWidth="1"/>
    <col min="9983" max="9983" width="12.28515625" style="110" customWidth="1"/>
    <col min="9984" max="9984" width="14.85546875" style="110" customWidth="1"/>
    <col min="9985" max="9985" width="14.42578125" style="110" customWidth="1"/>
    <col min="9986" max="9988" width="15.140625" style="110" customWidth="1"/>
    <col min="9989" max="9989" width="13.7109375" style="110" customWidth="1"/>
    <col min="9990" max="9990" width="16.28515625" style="110" customWidth="1"/>
    <col min="9991" max="9994" width="7.85546875" style="110"/>
    <col min="9995" max="9995" width="14.7109375" style="110" bestFit="1" customWidth="1"/>
    <col min="9996" max="10237" width="7.85546875" style="110"/>
    <col min="10238" max="10238" width="26.42578125" style="110" customWidth="1"/>
    <col min="10239" max="10239" width="12.28515625" style="110" customWidth="1"/>
    <col min="10240" max="10240" width="14.85546875" style="110" customWidth="1"/>
    <col min="10241" max="10241" width="14.42578125" style="110" customWidth="1"/>
    <col min="10242" max="10244" width="15.140625" style="110" customWidth="1"/>
    <col min="10245" max="10245" width="13.7109375" style="110" customWidth="1"/>
    <col min="10246" max="10246" width="16.28515625" style="110" customWidth="1"/>
    <col min="10247" max="10250" width="7.85546875" style="110"/>
    <col min="10251" max="10251" width="14.7109375" style="110" bestFit="1" customWidth="1"/>
    <col min="10252" max="10493" width="7.85546875" style="110"/>
    <col min="10494" max="10494" width="26.42578125" style="110" customWidth="1"/>
    <col min="10495" max="10495" width="12.28515625" style="110" customWidth="1"/>
    <col min="10496" max="10496" width="14.85546875" style="110" customWidth="1"/>
    <col min="10497" max="10497" width="14.42578125" style="110" customWidth="1"/>
    <col min="10498" max="10500" width="15.140625" style="110" customWidth="1"/>
    <col min="10501" max="10501" width="13.7109375" style="110" customWidth="1"/>
    <col min="10502" max="10502" width="16.28515625" style="110" customWidth="1"/>
    <col min="10503" max="10506" width="7.85546875" style="110"/>
    <col min="10507" max="10507" width="14.7109375" style="110" bestFit="1" customWidth="1"/>
    <col min="10508" max="10749" width="7.85546875" style="110"/>
    <col min="10750" max="10750" width="26.42578125" style="110" customWidth="1"/>
    <col min="10751" max="10751" width="12.28515625" style="110" customWidth="1"/>
    <col min="10752" max="10752" width="14.85546875" style="110" customWidth="1"/>
    <col min="10753" max="10753" width="14.42578125" style="110" customWidth="1"/>
    <col min="10754" max="10756" width="15.140625" style="110" customWidth="1"/>
    <col min="10757" max="10757" width="13.7109375" style="110" customWidth="1"/>
    <col min="10758" max="10758" width="16.28515625" style="110" customWidth="1"/>
    <col min="10759" max="10762" width="7.85546875" style="110"/>
    <col min="10763" max="10763" width="14.7109375" style="110" bestFit="1" customWidth="1"/>
    <col min="10764" max="11005" width="7.85546875" style="110"/>
    <col min="11006" max="11006" width="26.42578125" style="110" customWidth="1"/>
    <col min="11007" max="11007" width="12.28515625" style="110" customWidth="1"/>
    <col min="11008" max="11008" width="14.85546875" style="110" customWidth="1"/>
    <col min="11009" max="11009" width="14.42578125" style="110" customWidth="1"/>
    <col min="11010" max="11012" width="15.140625" style="110" customWidth="1"/>
    <col min="11013" max="11013" width="13.7109375" style="110" customWidth="1"/>
    <col min="11014" max="11014" width="16.28515625" style="110" customWidth="1"/>
    <col min="11015" max="11018" width="7.85546875" style="110"/>
    <col min="11019" max="11019" width="14.7109375" style="110" bestFit="1" customWidth="1"/>
    <col min="11020" max="11261" width="7.85546875" style="110"/>
    <col min="11262" max="11262" width="26.42578125" style="110" customWidth="1"/>
    <col min="11263" max="11263" width="12.28515625" style="110" customWidth="1"/>
    <col min="11264" max="11264" width="14.85546875" style="110" customWidth="1"/>
    <col min="11265" max="11265" width="14.42578125" style="110" customWidth="1"/>
    <col min="11266" max="11268" width="15.140625" style="110" customWidth="1"/>
    <col min="11269" max="11269" width="13.7109375" style="110" customWidth="1"/>
    <col min="11270" max="11270" width="16.28515625" style="110" customWidth="1"/>
    <col min="11271" max="11274" width="7.85546875" style="110"/>
    <col min="11275" max="11275" width="14.7109375" style="110" bestFit="1" customWidth="1"/>
    <col min="11276" max="11517" width="7.85546875" style="110"/>
    <col min="11518" max="11518" width="26.42578125" style="110" customWidth="1"/>
    <col min="11519" max="11519" width="12.28515625" style="110" customWidth="1"/>
    <col min="11520" max="11520" width="14.85546875" style="110" customWidth="1"/>
    <col min="11521" max="11521" width="14.42578125" style="110" customWidth="1"/>
    <col min="11522" max="11524" width="15.140625" style="110" customWidth="1"/>
    <col min="11525" max="11525" width="13.7109375" style="110" customWidth="1"/>
    <col min="11526" max="11526" width="16.28515625" style="110" customWidth="1"/>
    <col min="11527" max="11530" width="7.85546875" style="110"/>
    <col min="11531" max="11531" width="14.7109375" style="110" bestFit="1" customWidth="1"/>
    <col min="11532" max="11773" width="7.85546875" style="110"/>
    <col min="11774" max="11774" width="26.42578125" style="110" customWidth="1"/>
    <col min="11775" max="11775" width="12.28515625" style="110" customWidth="1"/>
    <col min="11776" max="11776" width="14.85546875" style="110" customWidth="1"/>
    <col min="11777" max="11777" width="14.42578125" style="110" customWidth="1"/>
    <col min="11778" max="11780" width="15.140625" style="110" customWidth="1"/>
    <col min="11781" max="11781" width="13.7109375" style="110" customWidth="1"/>
    <col min="11782" max="11782" width="16.28515625" style="110" customWidth="1"/>
    <col min="11783" max="11786" width="7.85546875" style="110"/>
    <col min="11787" max="11787" width="14.7109375" style="110" bestFit="1" customWidth="1"/>
    <col min="11788" max="12029" width="7.85546875" style="110"/>
    <col min="12030" max="12030" width="26.42578125" style="110" customWidth="1"/>
    <col min="12031" max="12031" width="12.28515625" style="110" customWidth="1"/>
    <col min="12032" max="12032" width="14.85546875" style="110" customWidth="1"/>
    <col min="12033" max="12033" width="14.42578125" style="110" customWidth="1"/>
    <col min="12034" max="12036" width="15.140625" style="110" customWidth="1"/>
    <col min="12037" max="12037" width="13.7109375" style="110" customWidth="1"/>
    <col min="12038" max="12038" width="16.28515625" style="110" customWidth="1"/>
    <col min="12039" max="12042" width="7.85546875" style="110"/>
    <col min="12043" max="12043" width="14.7109375" style="110" bestFit="1" customWidth="1"/>
    <col min="12044" max="12285" width="7.85546875" style="110"/>
    <col min="12286" max="12286" width="26.42578125" style="110" customWidth="1"/>
    <col min="12287" max="12287" width="12.28515625" style="110" customWidth="1"/>
    <col min="12288" max="12288" width="14.85546875" style="110" customWidth="1"/>
    <col min="12289" max="12289" width="14.42578125" style="110" customWidth="1"/>
    <col min="12290" max="12292" width="15.140625" style="110" customWidth="1"/>
    <col min="12293" max="12293" width="13.7109375" style="110" customWidth="1"/>
    <col min="12294" max="12294" width="16.28515625" style="110" customWidth="1"/>
    <col min="12295" max="12298" width="7.85546875" style="110"/>
    <col min="12299" max="12299" width="14.7109375" style="110" bestFit="1" customWidth="1"/>
    <col min="12300" max="12541" width="7.85546875" style="110"/>
    <col min="12542" max="12542" width="26.42578125" style="110" customWidth="1"/>
    <col min="12543" max="12543" width="12.28515625" style="110" customWidth="1"/>
    <col min="12544" max="12544" width="14.85546875" style="110" customWidth="1"/>
    <col min="12545" max="12545" width="14.42578125" style="110" customWidth="1"/>
    <col min="12546" max="12548" width="15.140625" style="110" customWidth="1"/>
    <col min="12549" max="12549" width="13.7109375" style="110" customWidth="1"/>
    <col min="12550" max="12550" width="16.28515625" style="110" customWidth="1"/>
    <col min="12551" max="12554" width="7.85546875" style="110"/>
    <col min="12555" max="12555" width="14.7109375" style="110" bestFit="1" customWidth="1"/>
    <col min="12556" max="12797" width="7.85546875" style="110"/>
    <col min="12798" max="12798" width="26.42578125" style="110" customWidth="1"/>
    <col min="12799" max="12799" width="12.28515625" style="110" customWidth="1"/>
    <col min="12800" max="12800" width="14.85546875" style="110" customWidth="1"/>
    <col min="12801" max="12801" width="14.42578125" style="110" customWidth="1"/>
    <col min="12802" max="12804" width="15.140625" style="110" customWidth="1"/>
    <col min="12805" max="12805" width="13.7109375" style="110" customWidth="1"/>
    <col min="12806" max="12806" width="16.28515625" style="110" customWidth="1"/>
    <col min="12807" max="12810" width="7.85546875" style="110"/>
    <col min="12811" max="12811" width="14.7109375" style="110" bestFit="1" customWidth="1"/>
    <col min="12812" max="13053" width="7.85546875" style="110"/>
    <col min="13054" max="13054" width="26.42578125" style="110" customWidth="1"/>
    <col min="13055" max="13055" width="12.28515625" style="110" customWidth="1"/>
    <col min="13056" max="13056" width="14.85546875" style="110" customWidth="1"/>
    <col min="13057" max="13057" width="14.42578125" style="110" customWidth="1"/>
    <col min="13058" max="13060" width="15.140625" style="110" customWidth="1"/>
    <col min="13061" max="13061" width="13.7109375" style="110" customWidth="1"/>
    <col min="13062" max="13062" width="16.28515625" style="110" customWidth="1"/>
    <col min="13063" max="13066" width="7.85546875" style="110"/>
    <col min="13067" max="13067" width="14.7109375" style="110" bestFit="1" customWidth="1"/>
    <col min="13068" max="13309" width="7.85546875" style="110"/>
    <col min="13310" max="13310" width="26.42578125" style="110" customWidth="1"/>
    <col min="13311" max="13311" width="12.28515625" style="110" customWidth="1"/>
    <col min="13312" max="13312" width="14.85546875" style="110" customWidth="1"/>
    <col min="13313" max="13313" width="14.42578125" style="110" customWidth="1"/>
    <col min="13314" max="13316" width="15.140625" style="110" customWidth="1"/>
    <col min="13317" max="13317" width="13.7109375" style="110" customWidth="1"/>
    <col min="13318" max="13318" width="16.28515625" style="110" customWidth="1"/>
    <col min="13319" max="13322" width="7.85546875" style="110"/>
    <col min="13323" max="13323" width="14.7109375" style="110" bestFit="1" customWidth="1"/>
    <col min="13324" max="13565" width="7.85546875" style="110"/>
    <col min="13566" max="13566" width="26.42578125" style="110" customWidth="1"/>
    <col min="13567" max="13567" width="12.28515625" style="110" customWidth="1"/>
    <col min="13568" max="13568" width="14.85546875" style="110" customWidth="1"/>
    <col min="13569" max="13569" width="14.42578125" style="110" customWidth="1"/>
    <col min="13570" max="13572" width="15.140625" style="110" customWidth="1"/>
    <col min="13573" max="13573" width="13.7109375" style="110" customWidth="1"/>
    <col min="13574" max="13574" width="16.28515625" style="110" customWidth="1"/>
    <col min="13575" max="13578" width="7.85546875" style="110"/>
    <col min="13579" max="13579" width="14.7109375" style="110" bestFit="1" customWidth="1"/>
    <col min="13580" max="13821" width="7.85546875" style="110"/>
    <col min="13822" max="13822" width="26.42578125" style="110" customWidth="1"/>
    <col min="13823" max="13823" width="12.28515625" style="110" customWidth="1"/>
    <col min="13824" max="13824" width="14.85546875" style="110" customWidth="1"/>
    <col min="13825" max="13825" width="14.42578125" style="110" customWidth="1"/>
    <col min="13826" max="13828" width="15.140625" style="110" customWidth="1"/>
    <col min="13829" max="13829" width="13.7109375" style="110" customWidth="1"/>
    <col min="13830" max="13830" width="16.28515625" style="110" customWidth="1"/>
    <col min="13831" max="13834" width="7.85546875" style="110"/>
    <col min="13835" max="13835" width="14.7109375" style="110" bestFit="1" customWidth="1"/>
    <col min="13836" max="14077" width="7.85546875" style="110"/>
    <col min="14078" max="14078" width="26.42578125" style="110" customWidth="1"/>
    <col min="14079" max="14079" width="12.28515625" style="110" customWidth="1"/>
    <col min="14080" max="14080" width="14.85546875" style="110" customWidth="1"/>
    <col min="14081" max="14081" width="14.42578125" style="110" customWidth="1"/>
    <col min="14082" max="14084" width="15.140625" style="110" customWidth="1"/>
    <col min="14085" max="14085" width="13.7109375" style="110" customWidth="1"/>
    <col min="14086" max="14086" width="16.28515625" style="110" customWidth="1"/>
    <col min="14087" max="14090" width="7.85546875" style="110"/>
    <col min="14091" max="14091" width="14.7109375" style="110" bestFit="1" customWidth="1"/>
    <col min="14092" max="14333" width="7.85546875" style="110"/>
    <col min="14334" max="14334" width="26.42578125" style="110" customWidth="1"/>
    <col min="14335" max="14335" width="12.28515625" style="110" customWidth="1"/>
    <col min="14336" max="14336" width="14.85546875" style="110" customWidth="1"/>
    <col min="14337" max="14337" width="14.42578125" style="110" customWidth="1"/>
    <col min="14338" max="14340" width="15.140625" style="110" customWidth="1"/>
    <col min="14341" max="14341" width="13.7109375" style="110" customWidth="1"/>
    <col min="14342" max="14342" width="16.28515625" style="110" customWidth="1"/>
    <col min="14343" max="14346" width="7.85546875" style="110"/>
    <col min="14347" max="14347" width="14.7109375" style="110" bestFit="1" customWidth="1"/>
    <col min="14348" max="14589" width="7.85546875" style="110"/>
    <col min="14590" max="14590" width="26.42578125" style="110" customWidth="1"/>
    <col min="14591" max="14591" width="12.28515625" style="110" customWidth="1"/>
    <col min="14592" max="14592" width="14.85546875" style="110" customWidth="1"/>
    <col min="14593" max="14593" width="14.42578125" style="110" customWidth="1"/>
    <col min="14594" max="14596" width="15.140625" style="110" customWidth="1"/>
    <col min="14597" max="14597" width="13.7109375" style="110" customWidth="1"/>
    <col min="14598" max="14598" width="16.28515625" style="110" customWidth="1"/>
    <col min="14599" max="14602" width="7.85546875" style="110"/>
    <col min="14603" max="14603" width="14.7109375" style="110" bestFit="1" customWidth="1"/>
    <col min="14604" max="14845" width="7.85546875" style="110"/>
    <col min="14846" max="14846" width="26.42578125" style="110" customWidth="1"/>
    <col min="14847" max="14847" width="12.28515625" style="110" customWidth="1"/>
    <col min="14848" max="14848" width="14.85546875" style="110" customWidth="1"/>
    <col min="14849" max="14849" width="14.42578125" style="110" customWidth="1"/>
    <col min="14850" max="14852" width="15.140625" style="110" customWidth="1"/>
    <col min="14853" max="14853" width="13.7109375" style="110" customWidth="1"/>
    <col min="14854" max="14854" width="16.28515625" style="110" customWidth="1"/>
    <col min="14855" max="14858" width="7.85546875" style="110"/>
    <col min="14859" max="14859" width="14.7109375" style="110" bestFit="1" customWidth="1"/>
    <col min="14860" max="15101" width="7.85546875" style="110"/>
    <col min="15102" max="15102" width="26.42578125" style="110" customWidth="1"/>
    <col min="15103" max="15103" width="12.28515625" style="110" customWidth="1"/>
    <col min="15104" max="15104" width="14.85546875" style="110" customWidth="1"/>
    <col min="15105" max="15105" width="14.42578125" style="110" customWidth="1"/>
    <col min="15106" max="15108" width="15.140625" style="110" customWidth="1"/>
    <col min="15109" max="15109" width="13.7109375" style="110" customWidth="1"/>
    <col min="15110" max="15110" width="16.28515625" style="110" customWidth="1"/>
    <col min="15111" max="15114" width="7.85546875" style="110"/>
    <col min="15115" max="15115" width="14.7109375" style="110" bestFit="1" customWidth="1"/>
    <col min="15116" max="15357" width="7.85546875" style="110"/>
    <col min="15358" max="15358" width="26.42578125" style="110" customWidth="1"/>
    <col min="15359" max="15359" width="12.28515625" style="110" customWidth="1"/>
    <col min="15360" max="15360" width="14.85546875" style="110" customWidth="1"/>
    <col min="15361" max="15361" width="14.42578125" style="110" customWidth="1"/>
    <col min="15362" max="15364" width="15.140625" style="110" customWidth="1"/>
    <col min="15365" max="15365" width="13.7109375" style="110" customWidth="1"/>
    <col min="15366" max="15366" width="16.28515625" style="110" customWidth="1"/>
    <col min="15367" max="15370" width="7.85546875" style="110"/>
    <col min="15371" max="15371" width="14.7109375" style="110" bestFit="1" customWidth="1"/>
    <col min="15372" max="15613" width="7.85546875" style="110"/>
    <col min="15614" max="15614" width="26.42578125" style="110" customWidth="1"/>
    <col min="15615" max="15615" width="12.28515625" style="110" customWidth="1"/>
    <col min="15616" max="15616" width="14.85546875" style="110" customWidth="1"/>
    <col min="15617" max="15617" width="14.42578125" style="110" customWidth="1"/>
    <col min="15618" max="15620" width="15.140625" style="110" customWidth="1"/>
    <col min="15621" max="15621" width="13.7109375" style="110" customWidth="1"/>
    <col min="15622" max="15622" width="16.28515625" style="110" customWidth="1"/>
    <col min="15623" max="15626" width="7.85546875" style="110"/>
    <col min="15627" max="15627" width="14.7109375" style="110" bestFit="1" customWidth="1"/>
    <col min="15628" max="15869" width="7.85546875" style="110"/>
    <col min="15870" max="15870" width="26.42578125" style="110" customWidth="1"/>
    <col min="15871" max="15871" width="12.28515625" style="110" customWidth="1"/>
    <col min="15872" max="15872" width="14.85546875" style="110" customWidth="1"/>
    <col min="15873" max="15873" width="14.42578125" style="110" customWidth="1"/>
    <col min="15874" max="15876" width="15.140625" style="110" customWidth="1"/>
    <col min="15877" max="15877" width="13.7109375" style="110" customWidth="1"/>
    <col min="15878" max="15878" width="16.28515625" style="110" customWidth="1"/>
    <col min="15879" max="15882" width="7.85546875" style="110"/>
    <col min="15883" max="15883" width="14.7109375" style="110" bestFit="1" customWidth="1"/>
    <col min="15884" max="16125" width="7.85546875" style="110"/>
    <col min="16126" max="16126" width="26.42578125" style="110" customWidth="1"/>
    <col min="16127" max="16127" width="12.28515625" style="110" customWidth="1"/>
    <col min="16128" max="16128" width="14.85546875" style="110" customWidth="1"/>
    <col min="16129" max="16129" width="14.42578125" style="110" customWidth="1"/>
    <col min="16130" max="16132" width="15.140625" style="110" customWidth="1"/>
    <col min="16133" max="16133" width="13.7109375" style="110" customWidth="1"/>
    <col min="16134" max="16134" width="16.28515625" style="110" customWidth="1"/>
    <col min="16135" max="16138" width="7.85546875" style="110"/>
    <col min="16139" max="16139" width="14.7109375" style="110" bestFit="1" customWidth="1"/>
    <col min="16140" max="16384" width="7.85546875" style="110"/>
  </cols>
  <sheetData>
    <row r="1" spans="1:10" x14ac:dyDescent="0.2">
      <c r="F1" s="110" t="s">
        <v>144</v>
      </c>
    </row>
    <row r="4" spans="1:10" x14ac:dyDescent="0.2">
      <c r="J4" s="184"/>
    </row>
    <row r="5" spans="1:10" ht="15.75" customHeight="1" x14ac:dyDescent="0.25">
      <c r="A5" s="267" t="s">
        <v>100</v>
      </c>
      <c r="B5" s="267"/>
      <c r="C5" s="267"/>
      <c r="D5" s="267"/>
      <c r="E5" s="267"/>
      <c r="F5" s="267"/>
      <c r="G5" s="267"/>
      <c r="H5" s="267"/>
      <c r="I5" s="267"/>
    </row>
    <row r="6" spans="1:10" s="114" customFormat="1" ht="21.75" customHeight="1" x14ac:dyDescent="0.35">
      <c r="A6" s="111" t="s">
        <v>0</v>
      </c>
      <c r="B6" s="112"/>
      <c r="C6" s="113"/>
      <c r="D6" s="113"/>
      <c r="E6" s="113"/>
      <c r="F6" s="113"/>
      <c r="G6" s="113"/>
      <c r="H6" s="113"/>
      <c r="I6" s="113"/>
    </row>
    <row r="7" spans="1:10" s="116" customFormat="1" ht="15.75" x14ac:dyDescent="0.25">
      <c r="A7" s="115" t="s">
        <v>101</v>
      </c>
    </row>
    <row r="8" spans="1:10" s="118" customFormat="1" ht="25.5" customHeight="1" x14ac:dyDescent="0.2">
      <c r="A8" s="117" t="s">
        <v>3</v>
      </c>
      <c r="B8" s="117" t="s">
        <v>102</v>
      </c>
      <c r="C8" s="117" t="s">
        <v>103</v>
      </c>
      <c r="D8" s="117" t="s">
        <v>104</v>
      </c>
      <c r="E8" s="117" t="s">
        <v>105</v>
      </c>
      <c r="F8" s="117" t="s">
        <v>106</v>
      </c>
      <c r="G8" s="117" t="s">
        <v>107</v>
      </c>
      <c r="H8" s="117" t="s">
        <v>108</v>
      </c>
      <c r="I8" s="117" t="s">
        <v>109</v>
      </c>
    </row>
    <row r="9" spans="1:10" customFormat="1" ht="17.25" customHeight="1" x14ac:dyDescent="0.25">
      <c r="A9" s="119" t="s">
        <v>110</v>
      </c>
      <c r="B9" s="120"/>
      <c r="C9" s="121"/>
      <c r="D9" s="122"/>
      <c r="E9" s="122"/>
      <c r="F9" s="122"/>
      <c r="G9" s="122"/>
      <c r="H9" s="122"/>
      <c r="I9" s="123"/>
    </row>
    <row r="10" spans="1:10" customFormat="1" ht="12.95" customHeight="1" x14ac:dyDescent="0.25">
      <c r="A10" s="124" t="s">
        <v>112</v>
      </c>
      <c r="B10" s="125">
        <v>1</v>
      </c>
      <c r="C10" s="128">
        <v>17.68</v>
      </c>
      <c r="D10" s="126" t="s">
        <v>111</v>
      </c>
      <c r="E10" s="127">
        <v>0</v>
      </c>
      <c r="F10" s="127">
        <v>0</v>
      </c>
      <c r="G10" s="127">
        <v>0</v>
      </c>
      <c r="H10" s="127">
        <f t="shared" ref="H10" si="0">C10*220*B10</f>
        <v>3889.6</v>
      </c>
      <c r="I10" s="182">
        <f t="shared" ref="I10" si="1">E10+F10+G10+H10</f>
        <v>3889.6</v>
      </c>
    </row>
    <row r="11" spans="1:10" customFormat="1" ht="12.95" customHeight="1" x14ac:dyDescent="0.25">
      <c r="A11" s="129" t="s">
        <v>113</v>
      </c>
      <c r="B11" s="125"/>
      <c r="C11" s="128"/>
      <c r="D11" s="126"/>
      <c r="E11" s="127"/>
      <c r="F11" s="127"/>
      <c r="G11" s="127"/>
      <c r="H11" s="127"/>
      <c r="I11" s="130"/>
    </row>
    <row r="12" spans="1:10" customFormat="1" ht="12.95" customHeight="1" x14ac:dyDescent="0.25">
      <c r="A12" s="124" t="s">
        <v>188</v>
      </c>
      <c r="B12" s="125">
        <v>4</v>
      </c>
      <c r="C12" s="128">
        <f>(1114.48/220)*1.04</f>
        <v>5.2684509090909097</v>
      </c>
      <c r="D12" s="126" t="s">
        <v>111</v>
      </c>
      <c r="E12" s="127">
        <v>0</v>
      </c>
      <c r="F12" s="127">
        <v>0</v>
      </c>
      <c r="G12" s="127">
        <v>0</v>
      </c>
      <c r="H12" s="127">
        <f>C12*220*B12</f>
        <v>4636.2368000000006</v>
      </c>
      <c r="I12" s="182">
        <f>E12+F12+G12+H12</f>
        <v>4636.2368000000006</v>
      </c>
      <c r="J12" s="110"/>
    </row>
    <row r="13" spans="1:10" customFormat="1" ht="12.95" customHeight="1" x14ac:dyDescent="0.25">
      <c r="A13" s="124" t="s">
        <v>189</v>
      </c>
      <c r="B13" s="125">
        <v>4</v>
      </c>
      <c r="C13" s="128">
        <f t="shared" ref="C13" si="2">(1114.48/220)*1.04</f>
        <v>5.2684509090909097</v>
      </c>
      <c r="D13" s="126" t="s">
        <v>111</v>
      </c>
      <c r="E13" s="127">
        <v>0</v>
      </c>
      <c r="F13" s="127">
        <v>0</v>
      </c>
      <c r="G13" s="127">
        <v>0</v>
      </c>
      <c r="H13" s="127">
        <f>C13*220*B13</f>
        <v>4636.2368000000006</v>
      </c>
      <c r="I13" s="182">
        <f>E13+F13+G13+H13</f>
        <v>4636.2368000000006</v>
      </c>
    </row>
    <row r="14" spans="1:10" customFormat="1" ht="12.95" customHeight="1" x14ac:dyDescent="0.25">
      <c r="A14" s="131"/>
      <c r="B14" s="125"/>
      <c r="C14" s="132"/>
      <c r="D14" s="126"/>
      <c r="E14" s="126"/>
      <c r="F14" s="126"/>
      <c r="G14" s="126"/>
      <c r="H14" s="133"/>
      <c r="I14" s="134"/>
    </row>
    <row r="15" spans="1:10" customFormat="1" ht="12.95" customHeight="1" x14ac:dyDescent="0.25">
      <c r="A15" s="129"/>
      <c r="B15" s="135"/>
      <c r="C15" s="132"/>
      <c r="D15" s="126"/>
      <c r="E15" s="126"/>
      <c r="F15" s="126"/>
      <c r="G15" s="126"/>
      <c r="H15" s="126"/>
      <c r="I15" s="136"/>
    </row>
    <row r="16" spans="1:10" customFormat="1" ht="12.95" customHeight="1" x14ac:dyDescent="0.25">
      <c r="A16" s="137"/>
      <c r="B16" s="138"/>
      <c r="C16" s="132"/>
      <c r="D16" s="126"/>
      <c r="E16" s="139"/>
      <c r="F16" s="139"/>
      <c r="G16" s="139"/>
      <c r="H16" s="133"/>
      <c r="I16" s="134"/>
    </row>
    <row r="17" spans="1:9" customFormat="1" ht="14.1" customHeight="1" x14ac:dyDescent="0.25">
      <c r="A17" s="140" t="s">
        <v>114</v>
      </c>
      <c r="B17" s="141"/>
      <c r="C17" s="142"/>
      <c r="D17" s="143"/>
      <c r="E17" s="143"/>
      <c r="F17" s="143"/>
      <c r="G17" s="143"/>
      <c r="H17" s="143"/>
      <c r="I17" s="144"/>
    </row>
    <row r="18" spans="1:9" s="116" customFormat="1" ht="14.25" customHeight="1" x14ac:dyDescent="0.2">
      <c r="C18" s="145"/>
      <c r="D18" s="268" t="s">
        <v>115</v>
      </c>
      <c r="E18" s="269"/>
      <c r="F18" s="269"/>
      <c r="G18" s="269"/>
      <c r="H18" s="270"/>
      <c r="I18" s="146">
        <f>SUM(I10:I16)</f>
        <v>13162.073600000002</v>
      </c>
    </row>
    <row r="19" spans="1:9" s="116" customFormat="1" ht="17.25" customHeight="1" x14ac:dyDescent="0.25">
      <c r="A19" s="115" t="s">
        <v>116</v>
      </c>
    </row>
    <row r="20" spans="1:9" s="116" customFormat="1" ht="13.5" customHeight="1" x14ac:dyDescent="0.2">
      <c r="A20" s="147" t="s">
        <v>117</v>
      </c>
      <c r="B20" s="148" t="s">
        <v>118</v>
      </c>
      <c r="C20" s="149" t="s">
        <v>119</v>
      </c>
      <c r="D20" s="150"/>
      <c r="E20" s="150"/>
      <c r="F20" s="150"/>
      <c r="G20" s="150"/>
      <c r="H20" s="150"/>
    </row>
    <row r="21" spans="1:9" s="116" customFormat="1" ht="15.75" hidden="1" customHeight="1" x14ac:dyDescent="0.2">
      <c r="A21" s="151" t="s">
        <v>120</v>
      </c>
      <c r="B21" s="152"/>
      <c r="C21" s="153"/>
      <c r="D21" s="154"/>
      <c r="E21" s="154"/>
      <c r="F21" s="154"/>
      <c r="G21" s="154"/>
      <c r="H21" s="154"/>
    </row>
    <row r="22" spans="1:9" s="116" customFormat="1" ht="12.75" hidden="1" x14ac:dyDescent="0.2">
      <c r="A22" s="155" t="s">
        <v>121</v>
      </c>
      <c r="B22" s="156">
        <v>0.2</v>
      </c>
      <c r="C22" s="157">
        <f>I18*B22</f>
        <v>2632.4147200000007</v>
      </c>
      <c r="D22" s="154"/>
      <c r="E22" s="154"/>
      <c r="F22" s="154"/>
      <c r="G22" s="154"/>
      <c r="H22" s="154"/>
    </row>
    <row r="23" spans="1:9" s="116" customFormat="1" ht="12.75" hidden="1" x14ac:dyDescent="0.2">
      <c r="A23" s="155" t="s">
        <v>122</v>
      </c>
      <c r="B23" s="156">
        <v>8.5000000000000006E-2</v>
      </c>
      <c r="C23" s="157">
        <f>I18*B23</f>
        <v>1118.7762560000001</v>
      </c>
      <c r="D23" s="158"/>
      <c r="E23" s="158"/>
      <c r="F23" s="158"/>
      <c r="G23" s="158"/>
      <c r="H23" s="154"/>
    </row>
    <row r="24" spans="1:9" s="116" customFormat="1" ht="12.75" hidden="1" x14ac:dyDescent="0.2">
      <c r="A24" s="155"/>
      <c r="B24" s="156"/>
      <c r="C24" s="157"/>
      <c r="D24" s="158"/>
      <c r="E24" s="158"/>
      <c r="F24" s="158"/>
      <c r="G24" s="158"/>
      <c r="H24" s="154"/>
    </row>
    <row r="25" spans="1:9" s="116" customFormat="1" ht="15.75" hidden="1" customHeight="1" x14ac:dyDescent="0.2">
      <c r="A25" s="159" t="s">
        <v>123</v>
      </c>
      <c r="B25" s="160"/>
      <c r="C25" s="161"/>
      <c r="D25" s="154"/>
      <c r="E25" s="154"/>
      <c r="F25" s="154"/>
      <c r="G25" s="154"/>
      <c r="H25" s="154"/>
    </row>
    <row r="26" spans="1:9" s="116" customFormat="1" ht="12.95" hidden="1" customHeight="1" x14ac:dyDescent="0.2">
      <c r="A26" s="155" t="s">
        <v>124</v>
      </c>
      <c r="B26" s="156">
        <v>0.1091</v>
      </c>
      <c r="C26" s="157">
        <f>I18*B26</f>
        <v>1435.9822297600001</v>
      </c>
      <c r="D26" s="154"/>
      <c r="E26" s="154"/>
      <c r="F26" s="154"/>
      <c r="G26" s="154"/>
      <c r="H26" s="154"/>
    </row>
    <row r="27" spans="1:9" s="116" customFormat="1" ht="12.75" hidden="1" x14ac:dyDescent="0.2">
      <c r="A27" s="155" t="s">
        <v>125</v>
      </c>
      <c r="B27" s="156">
        <v>9.4500000000000001E-2</v>
      </c>
      <c r="C27" s="157">
        <f>I18*B27</f>
        <v>1243.8159552000002</v>
      </c>
      <c r="D27" s="154"/>
      <c r="E27" s="154"/>
      <c r="F27" s="154"/>
      <c r="G27" s="154"/>
      <c r="H27" s="154"/>
    </row>
    <row r="28" spans="1:9" s="116" customFormat="1" ht="12.75" hidden="1" x14ac:dyDescent="0.2">
      <c r="A28" s="155" t="s">
        <v>126</v>
      </c>
      <c r="B28" s="162">
        <v>5.4999999999999997E-3</v>
      </c>
      <c r="C28" s="157">
        <f>I18*B28</f>
        <v>72.391404800000004</v>
      </c>
      <c r="D28" s="154"/>
      <c r="E28" s="154"/>
      <c r="F28" s="154"/>
      <c r="G28" s="154"/>
      <c r="H28" s="154"/>
    </row>
    <row r="29" spans="1:9" s="116" customFormat="1" ht="12.75" hidden="1" x14ac:dyDescent="0.2">
      <c r="A29" s="155" t="s">
        <v>127</v>
      </c>
      <c r="B29" s="156">
        <v>0.5</v>
      </c>
      <c r="C29" s="157">
        <f>I18*B29</f>
        <v>6581.0368000000008</v>
      </c>
      <c r="D29" s="154"/>
      <c r="E29" s="154"/>
      <c r="F29" s="154"/>
      <c r="G29" s="154"/>
      <c r="H29" s="154"/>
    </row>
    <row r="30" spans="1:9" s="116" customFormat="1" ht="12.75" hidden="1" x14ac:dyDescent="0.2">
      <c r="A30" s="155"/>
      <c r="B30" s="163"/>
      <c r="C30" s="157"/>
      <c r="D30" s="154"/>
      <c r="E30" s="154"/>
      <c r="F30" s="154"/>
      <c r="G30" s="154"/>
      <c r="H30" s="154"/>
    </row>
    <row r="31" spans="1:9" s="116" customFormat="1" ht="15.75" hidden="1" customHeight="1" x14ac:dyDescent="0.2">
      <c r="A31" s="159" t="s">
        <v>128</v>
      </c>
      <c r="B31" s="160"/>
      <c r="C31" s="164"/>
      <c r="D31" s="154"/>
      <c r="E31" s="154"/>
      <c r="F31" s="154"/>
      <c r="G31" s="154"/>
      <c r="H31" s="154"/>
    </row>
    <row r="32" spans="1:9" s="116" customFormat="1" ht="10.5" hidden="1" customHeight="1" x14ac:dyDescent="0.2">
      <c r="A32" s="159"/>
      <c r="B32" s="160"/>
      <c r="C32" s="164"/>
      <c r="D32" s="154"/>
      <c r="E32" s="154"/>
      <c r="F32" s="154"/>
      <c r="G32" s="154"/>
      <c r="H32" s="154"/>
    </row>
    <row r="33" spans="1:9" s="116" customFormat="1" ht="12.95" hidden="1" customHeight="1" x14ac:dyDescent="0.2">
      <c r="A33" s="155" t="s">
        <v>129</v>
      </c>
      <c r="B33" s="156">
        <v>7.9299999999999995E-2</v>
      </c>
      <c r="C33" s="157">
        <f>I18*B33</f>
        <v>1043.7524364800001</v>
      </c>
      <c r="D33" s="154"/>
      <c r="E33" s="154"/>
      <c r="F33" s="154"/>
      <c r="G33" s="154"/>
      <c r="H33" s="154"/>
    </row>
    <row r="34" spans="1:9" s="116" customFormat="1" ht="12.95" hidden="1" customHeight="1" x14ac:dyDescent="0.2">
      <c r="A34" s="155"/>
      <c r="B34" s="156"/>
      <c r="C34" s="157"/>
      <c r="D34" s="154"/>
      <c r="E34" s="154"/>
      <c r="F34" s="154"/>
      <c r="G34" s="154"/>
      <c r="H34" s="154"/>
    </row>
    <row r="35" spans="1:9" s="116" customFormat="1" ht="15.75" hidden="1" customHeight="1" x14ac:dyDescent="0.2">
      <c r="A35" s="159" t="s">
        <v>130</v>
      </c>
      <c r="B35" s="160"/>
      <c r="C35" s="164"/>
      <c r="D35" s="154"/>
      <c r="E35" s="154"/>
      <c r="F35" s="154"/>
      <c r="G35" s="154"/>
      <c r="H35" s="154"/>
    </row>
    <row r="36" spans="1:9" s="116" customFormat="1" ht="8.25" hidden="1" customHeight="1" x14ac:dyDescent="0.2">
      <c r="A36" s="159"/>
      <c r="B36" s="165"/>
      <c r="C36" s="164"/>
      <c r="D36" s="154"/>
      <c r="E36" s="154"/>
      <c r="F36" s="154"/>
      <c r="G36" s="154"/>
      <c r="H36" s="154"/>
    </row>
    <row r="37" spans="1:9" s="116" customFormat="1" ht="12.95" hidden="1" customHeight="1" x14ac:dyDescent="0.2">
      <c r="A37" s="155" t="s">
        <v>131</v>
      </c>
      <c r="B37" s="166" t="s">
        <v>132</v>
      </c>
      <c r="C37" s="157">
        <f>50/100*C23</f>
        <v>559.38812800000005</v>
      </c>
      <c r="D37" s="154"/>
      <c r="E37" s="154"/>
      <c r="F37" s="154"/>
      <c r="G37" s="154"/>
      <c r="H37" s="154"/>
    </row>
    <row r="38" spans="1:9" s="116" customFormat="1" ht="12.75" hidden="1" x14ac:dyDescent="0.2">
      <c r="A38" s="167"/>
      <c r="B38" s="168"/>
      <c r="C38" s="169"/>
      <c r="D38" s="154"/>
      <c r="E38" s="154"/>
      <c r="F38" s="154"/>
      <c r="G38" s="154"/>
      <c r="H38" s="154"/>
    </row>
    <row r="39" spans="1:9" s="116" customFormat="1" ht="14.25" customHeight="1" x14ac:dyDescent="0.2">
      <c r="A39" s="170" t="s">
        <v>133</v>
      </c>
      <c r="B39" s="171"/>
      <c r="C39" s="172">
        <f>SUM(C22:C38)</f>
        <v>14687.557930240002</v>
      </c>
      <c r="D39" s="173"/>
      <c r="E39" s="174"/>
      <c r="F39" s="174"/>
      <c r="G39" s="174"/>
      <c r="H39" s="175"/>
    </row>
    <row r="40" spans="1:9" s="116" customFormat="1" ht="7.5" customHeight="1" x14ac:dyDescent="0.2">
      <c r="B40" s="150"/>
    </row>
    <row r="41" spans="1:9" s="116" customFormat="1" ht="14.25" customHeight="1" x14ac:dyDescent="0.2">
      <c r="A41" s="176"/>
      <c r="C41" s="177"/>
      <c r="D41" s="271" t="s">
        <v>134</v>
      </c>
      <c r="E41" s="272"/>
      <c r="F41" s="178"/>
      <c r="G41" s="178"/>
      <c r="H41" s="273">
        <f>C39+I18</f>
        <v>27849.631530240003</v>
      </c>
      <c r="I41" s="274"/>
    </row>
    <row r="42" spans="1:9" s="116" customFormat="1" ht="14.25" customHeight="1" x14ac:dyDescent="0.2">
      <c r="A42" s="176"/>
      <c r="C42" s="177"/>
      <c r="D42" s="235"/>
      <c r="E42" s="235"/>
      <c r="F42" s="235"/>
      <c r="G42" s="235"/>
      <c r="H42" s="236"/>
      <c r="I42" s="236"/>
    </row>
    <row r="43" spans="1:9" s="116" customFormat="1" ht="29.25" customHeight="1" x14ac:dyDescent="0.2">
      <c r="A43" s="275" t="s">
        <v>181</v>
      </c>
      <c r="B43" s="276"/>
      <c r="C43" s="276"/>
      <c r="D43" s="276"/>
      <c r="E43" s="276"/>
      <c r="F43" s="276"/>
      <c r="G43" s="277"/>
    </row>
    <row r="44" spans="1:9" s="116" customFormat="1" x14ac:dyDescent="0.2">
      <c r="A44" s="237"/>
      <c r="B44" s="238" t="s">
        <v>145</v>
      </c>
      <c r="C44" s="238" t="s">
        <v>146</v>
      </c>
      <c r="D44" s="239" t="s">
        <v>147</v>
      </c>
      <c r="E44" s="239" t="s">
        <v>148</v>
      </c>
      <c r="F44" s="239" t="s">
        <v>149</v>
      </c>
      <c r="G44" s="239" t="s">
        <v>141</v>
      </c>
    </row>
    <row r="45" spans="1:9" s="116" customFormat="1" ht="12.75" x14ac:dyDescent="0.2">
      <c r="A45" s="124" t="s">
        <v>112</v>
      </c>
      <c r="B45" s="125">
        <v>1</v>
      </c>
      <c r="C45" s="187">
        <v>30</v>
      </c>
      <c r="D45" s="181">
        <v>5.4</v>
      </c>
      <c r="E45" s="181">
        <v>12.96</v>
      </c>
      <c r="F45" s="188">
        <v>10</v>
      </c>
      <c r="G45" s="189">
        <f t="shared" ref="G45:G47" si="3">(B45*C45*(D45+E45+F45))</f>
        <v>850.8</v>
      </c>
      <c r="H45" s="266"/>
    </row>
    <row r="46" spans="1:9" s="116" customFormat="1" ht="12.75" x14ac:dyDescent="0.2">
      <c r="A46" s="124" t="s">
        <v>188</v>
      </c>
      <c r="B46" s="125">
        <v>4</v>
      </c>
      <c r="C46" s="187">
        <v>20</v>
      </c>
      <c r="D46" s="181">
        <v>5.4</v>
      </c>
      <c r="E46" s="181">
        <v>12.96</v>
      </c>
      <c r="F46" s="188">
        <v>10</v>
      </c>
      <c r="G46" s="189">
        <f t="shared" si="3"/>
        <v>2268.8000000000002</v>
      </c>
      <c r="H46" s="266"/>
    </row>
    <row r="47" spans="1:9" s="116" customFormat="1" ht="12.75" x14ac:dyDescent="0.2">
      <c r="A47" s="124" t="s">
        <v>189</v>
      </c>
      <c r="B47" s="125">
        <v>4</v>
      </c>
      <c r="C47" s="187">
        <v>20</v>
      </c>
      <c r="D47" s="181">
        <v>5.4</v>
      </c>
      <c r="E47" s="181">
        <v>12.96</v>
      </c>
      <c r="F47" s="188">
        <v>10</v>
      </c>
      <c r="G47" s="189">
        <f t="shared" si="3"/>
        <v>2268.8000000000002</v>
      </c>
      <c r="H47" s="266"/>
    </row>
    <row r="48" spans="1:9" s="116" customFormat="1" ht="12.75" x14ac:dyDescent="0.2">
      <c r="G48" s="190">
        <f>SUM(G45:G47)</f>
        <v>5388.4000000000005</v>
      </c>
    </row>
    <row r="50" spans="7:7" x14ac:dyDescent="0.2">
      <c r="G50" s="191">
        <f>G48</f>
        <v>5388.4000000000005</v>
      </c>
    </row>
  </sheetData>
  <mergeCells count="6">
    <mergeCell ref="H45:H47"/>
    <mergeCell ref="A5:I5"/>
    <mergeCell ref="D18:H18"/>
    <mergeCell ref="D41:E41"/>
    <mergeCell ref="H41:I41"/>
    <mergeCell ref="A43:G4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8"/>
  <sheetViews>
    <sheetView showGridLines="0" workbookViewId="0">
      <selection activeCell="A18" activeCellId="1" sqref="A19:XFD19 A18:XFD18"/>
    </sheetView>
  </sheetViews>
  <sheetFormatPr defaultRowHeight="15" x14ac:dyDescent="0.25"/>
  <cols>
    <col min="1" max="1" width="19.85546875" bestFit="1" customWidth="1"/>
    <col min="2" max="2" width="10.85546875" customWidth="1"/>
    <col min="3" max="3" width="11.42578125" customWidth="1"/>
    <col min="8" max="9" width="11.7109375" bestFit="1" customWidth="1"/>
  </cols>
  <sheetData>
    <row r="1" spans="1:9" x14ac:dyDescent="0.25">
      <c r="A1" s="283" t="s">
        <v>172</v>
      </c>
      <c r="B1" s="283"/>
      <c r="C1" s="283"/>
      <c r="D1" s="283"/>
      <c r="E1" s="283"/>
      <c r="F1" s="283"/>
    </row>
    <row r="2" spans="1:9" ht="30.75" customHeight="1" x14ac:dyDescent="0.25">
      <c r="A2" s="227" t="s">
        <v>173</v>
      </c>
      <c r="B2" s="227" t="s">
        <v>158</v>
      </c>
      <c r="C2" s="227" t="s">
        <v>159</v>
      </c>
      <c r="D2" s="229" t="s">
        <v>160</v>
      </c>
      <c r="E2" s="227" t="s">
        <v>161</v>
      </c>
      <c r="F2" s="230" t="s">
        <v>162</v>
      </c>
      <c r="H2" s="211" t="s">
        <v>161</v>
      </c>
      <c r="I2" s="226" t="s">
        <v>162</v>
      </c>
    </row>
    <row r="3" spans="1:9" ht="21" customHeight="1" x14ac:dyDescent="0.25">
      <c r="A3" s="211" t="s">
        <v>174</v>
      </c>
      <c r="B3" s="211" t="s">
        <v>175</v>
      </c>
      <c r="C3" s="211" t="s">
        <v>176</v>
      </c>
      <c r="D3" s="212" t="s">
        <v>177</v>
      </c>
      <c r="E3" s="211" t="s">
        <v>177</v>
      </c>
      <c r="F3" s="213" t="s">
        <v>178</v>
      </c>
      <c r="H3" s="216">
        <v>32</v>
      </c>
      <c r="I3" s="216">
        <v>12</v>
      </c>
    </row>
    <row r="4" spans="1:9" x14ac:dyDescent="0.25">
      <c r="A4" s="208" t="s">
        <v>153</v>
      </c>
      <c r="B4" s="228">
        <v>8</v>
      </c>
      <c r="C4" s="209">
        <v>8</v>
      </c>
      <c r="D4" s="210">
        <v>10</v>
      </c>
      <c r="E4" s="209">
        <v>10</v>
      </c>
      <c r="F4" s="231">
        <v>4</v>
      </c>
      <c r="H4" s="216">
        <f>700*1.36</f>
        <v>952.00000000000011</v>
      </c>
      <c r="I4" s="216">
        <f>700*1.36</f>
        <v>952.00000000000011</v>
      </c>
    </row>
    <row r="5" spans="1:9" x14ac:dyDescent="0.25">
      <c r="A5" s="203" t="s">
        <v>154</v>
      </c>
      <c r="B5" s="204">
        <v>14</v>
      </c>
      <c r="C5" s="204">
        <v>12</v>
      </c>
      <c r="D5" s="206">
        <v>12</v>
      </c>
      <c r="E5" s="204">
        <v>12</v>
      </c>
      <c r="F5" s="207">
        <v>5</v>
      </c>
      <c r="H5" s="243">
        <f>H3*H4</f>
        <v>30464.000000000004</v>
      </c>
      <c r="I5" s="243">
        <f>I3*I4</f>
        <v>11424.000000000002</v>
      </c>
    </row>
    <row r="6" spans="1:9" x14ac:dyDescent="0.25">
      <c r="A6" s="203" t="s">
        <v>155</v>
      </c>
      <c r="B6" s="204">
        <v>2</v>
      </c>
      <c r="C6" s="204">
        <v>1</v>
      </c>
      <c r="D6" s="206">
        <v>1</v>
      </c>
      <c r="E6" s="204">
        <v>2</v>
      </c>
      <c r="F6" s="207">
        <v>1</v>
      </c>
    </row>
    <row r="7" spans="1:9" x14ac:dyDescent="0.25">
      <c r="A7" s="203" t="s">
        <v>156</v>
      </c>
      <c r="B7" s="204">
        <v>2</v>
      </c>
      <c r="C7" s="204">
        <v>1</v>
      </c>
      <c r="D7" s="206">
        <v>2</v>
      </c>
      <c r="E7" s="204">
        <v>2</v>
      </c>
      <c r="F7" s="207">
        <v>1</v>
      </c>
    </row>
    <row r="8" spans="1:9" x14ac:dyDescent="0.25">
      <c r="A8" s="220" t="s">
        <v>157</v>
      </c>
      <c r="B8" s="219"/>
      <c r="C8" s="219"/>
      <c r="D8" s="218"/>
      <c r="E8" s="222">
        <v>6</v>
      </c>
      <c r="F8" s="204"/>
    </row>
    <row r="9" spans="1:9" x14ac:dyDescent="0.25">
      <c r="A9" s="221" t="s">
        <v>164</v>
      </c>
      <c r="B9" s="205">
        <v>2</v>
      </c>
      <c r="C9" s="205">
        <v>2</v>
      </c>
      <c r="D9" s="205">
        <v>1</v>
      </c>
      <c r="E9" s="217">
        <v>2</v>
      </c>
      <c r="F9" s="205">
        <v>1</v>
      </c>
    </row>
    <row r="10" spans="1:9" x14ac:dyDescent="0.25">
      <c r="A10" s="214" t="s">
        <v>163</v>
      </c>
      <c r="B10" s="216">
        <f>SUM(B4:B9,)</f>
        <v>28</v>
      </c>
      <c r="C10" s="216">
        <f>SUM(C4:C9,)</f>
        <v>24</v>
      </c>
      <c r="D10" s="216">
        <f>SUM(D4:D9,)</f>
        <v>26</v>
      </c>
      <c r="E10" s="216">
        <f>SUM(E4:E9,)</f>
        <v>34</v>
      </c>
      <c r="F10" s="215">
        <f>SUM(F4:F9,)</f>
        <v>12</v>
      </c>
    </row>
    <row r="11" spans="1:9" x14ac:dyDescent="0.25">
      <c r="A11" s="282" t="s">
        <v>171</v>
      </c>
      <c r="B11" s="282"/>
      <c r="C11" s="282"/>
      <c r="D11" s="282"/>
      <c r="E11" s="282"/>
      <c r="F11" s="282"/>
    </row>
    <row r="12" spans="1:9" x14ac:dyDescent="0.25">
      <c r="A12" s="225" t="s">
        <v>165</v>
      </c>
      <c r="B12" s="287">
        <v>1</v>
      </c>
      <c r="C12" s="288"/>
      <c r="D12" s="288"/>
      <c r="E12" s="288"/>
      <c r="F12" s="289"/>
    </row>
    <row r="13" spans="1:9" x14ac:dyDescent="0.25">
      <c r="A13" s="223" t="s">
        <v>166</v>
      </c>
      <c r="B13" s="279">
        <v>1</v>
      </c>
      <c r="C13" s="280"/>
      <c r="D13" s="280"/>
      <c r="E13" s="280"/>
      <c r="F13" s="281"/>
    </row>
    <row r="14" spans="1:9" x14ac:dyDescent="0.25">
      <c r="A14" s="224" t="s">
        <v>167</v>
      </c>
      <c r="B14" s="279">
        <v>3</v>
      </c>
      <c r="C14" s="280"/>
      <c r="D14" s="280"/>
      <c r="E14" s="280"/>
      <c r="F14" s="281"/>
    </row>
    <row r="15" spans="1:9" x14ac:dyDescent="0.25">
      <c r="A15" s="223" t="s">
        <v>168</v>
      </c>
      <c r="B15" s="279">
        <v>2</v>
      </c>
      <c r="C15" s="280"/>
      <c r="D15" s="280"/>
      <c r="E15" s="280"/>
      <c r="F15" s="281"/>
    </row>
    <row r="16" spans="1:9" x14ac:dyDescent="0.25">
      <c r="A16" s="224" t="s">
        <v>169</v>
      </c>
      <c r="B16" s="290">
        <v>2</v>
      </c>
      <c r="C16" s="291"/>
      <c r="D16" s="291"/>
      <c r="E16" s="291"/>
      <c r="F16" s="292"/>
    </row>
    <row r="17" spans="1:6" x14ac:dyDescent="0.25">
      <c r="A17" s="232" t="s">
        <v>170</v>
      </c>
      <c r="B17" s="279">
        <v>2</v>
      </c>
      <c r="C17" s="280"/>
      <c r="D17" s="280"/>
      <c r="E17" s="280"/>
      <c r="F17" s="281"/>
    </row>
    <row r="18" spans="1:6" x14ac:dyDescent="0.25">
      <c r="A18" s="214" t="s">
        <v>163</v>
      </c>
      <c r="B18" s="284">
        <f>SUM(B12:B17)+B10+C10+D10+E10+F10</f>
        <v>135</v>
      </c>
      <c r="C18" s="285"/>
      <c r="D18" s="285"/>
      <c r="E18" s="285"/>
      <c r="F18" s="286"/>
    </row>
  </sheetData>
  <mergeCells count="9">
    <mergeCell ref="B17:F17"/>
    <mergeCell ref="A11:F11"/>
    <mergeCell ref="A1:F1"/>
    <mergeCell ref="B18:F18"/>
    <mergeCell ref="B12:F12"/>
    <mergeCell ref="B13:F13"/>
    <mergeCell ref="B14:F14"/>
    <mergeCell ref="B15:F15"/>
    <mergeCell ref="B16:F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83517-8B49-4EB1-BE6F-B5BC1CD2E952}">
  <dimension ref="A1:L80"/>
  <sheetViews>
    <sheetView topLeftCell="A29" workbookViewId="0">
      <selection activeCell="B77" sqref="A29:G77"/>
    </sheetView>
  </sheetViews>
  <sheetFormatPr defaultColWidth="7.85546875" defaultRowHeight="15" x14ac:dyDescent="0.2"/>
  <cols>
    <col min="1" max="1" width="26.42578125" style="110" customWidth="1"/>
    <col min="2" max="2" width="12.28515625" style="110" customWidth="1"/>
    <col min="3" max="3" width="14.85546875" style="110" customWidth="1"/>
    <col min="4" max="4" width="14.42578125" style="110" customWidth="1"/>
    <col min="5" max="6" width="15.140625" style="110" customWidth="1"/>
    <col min="7" max="7" width="16.42578125" style="110" bestFit="1" customWidth="1"/>
    <col min="8" max="8" width="13.7109375" style="110" customWidth="1"/>
    <col min="9" max="9" width="16.28515625" style="110" customWidth="1"/>
    <col min="10" max="10" width="24.28515625" style="110" customWidth="1"/>
    <col min="11" max="11" width="7.85546875" style="110"/>
    <col min="12" max="12" width="16.7109375" style="110" bestFit="1" customWidth="1"/>
    <col min="13" max="254" width="7.85546875" style="110"/>
    <col min="255" max="255" width="26.42578125" style="110" customWidth="1"/>
    <col min="256" max="256" width="12.28515625" style="110" customWidth="1"/>
    <col min="257" max="257" width="14.85546875" style="110" customWidth="1"/>
    <col min="258" max="258" width="14.42578125" style="110" customWidth="1"/>
    <col min="259" max="261" width="15.140625" style="110" customWidth="1"/>
    <col min="262" max="262" width="13.7109375" style="110" customWidth="1"/>
    <col min="263" max="263" width="16.28515625" style="110" customWidth="1"/>
    <col min="264" max="267" width="7.85546875" style="110"/>
    <col min="268" max="268" width="14.7109375" style="110" bestFit="1" customWidth="1"/>
    <col min="269" max="510" width="7.85546875" style="110"/>
    <col min="511" max="511" width="26.42578125" style="110" customWidth="1"/>
    <col min="512" max="512" width="12.28515625" style="110" customWidth="1"/>
    <col min="513" max="513" width="14.85546875" style="110" customWidth="1"/>
    <col min="514" max="514" width="14.42578125" style="110" customWidth="1"/>
    <col min="515" max="517" width="15.140625" style="110" customWidth="1"/>
    <col min="518" max="518" width="13.7109375" style="110" customWidth="1"/>
    <col min="519" max="519" width="16.28515625" style="110" customWidth="1"/>
    <col min="520" max="523" width="7.85546875" style="110"/>
    <col min="524" max="524" width="14.7109375" style="110" bestFit="1" customWidth="1"/>
    <col min="525" max="766" width="7.85546875" style="110"/>
    <col min="767" max="767" width="26.42578125" style="110" customWidth="1"/>
    <col min="768" max="768" width="12.28515625" style="110" customWidth="1"/>
    <col min="769" max="769" width="14.85546875" style="110" customWidth="1"/>
    <col min="770" max="770" width="14.42578125" style="110" customWidth="1"/>
    <col min="771" max="773" width="15.140625" style="110" customWidth="1"/>
    <col min="774" max="774" width="13.7109375" style="110" customWidth="1"/>
    <col min="775" max="775" width="16.28515625" style="110" customWidth="1"/>
    <col min="776" max="779" width="7.85546875" style="110"/>
    <col min="780" max="780" width="14.7109375" style="110" bestFit="1" customWidth="1"/>
    <col min="781" max="1022" width="7.85546875" style="110"/>
    <col min="1023" max="1023" width="26.42578125" style="110" customWidth="1"/>
    <col min="1024" max="1024" width="12.28515625" style="110" customWidth="1"/>
    <col min="1025" max="1025" width="14.85546875" style="110" customWidth="1"/>
    <col min="1026" max="1026" width="14.42578125" style="110" customWidth="1"/>
    <col min="1027" max="1029" width="15.140625" style="110" customWidth="1"/>
    <col min="1030" max="1030" width="13.7109375" style="110" customWidth="1"/>
    <col min="1031" max="1031" width="16.28515625" style="110" customWidth="1"/>
    <col min="1032" max="1035" width="7.85546875" style="110"/>
    <col min="1036" max="1036" width="14.7109375" style="110" bestFit="1" customWidth="1"/>
    <col min="1037" max="1278" width="7.85546875" style="110"/>
    <col min="1279" max="1279" width="26.42578125" style="110" customWidth="1"/>
    <col min="1280" max="1280" width="12.28515625" style="110" customWidth="1"/>
    <col min="1281" max="1281" width="14.85546875" style="110" customWidth="1"/>
    <col min="1282" max="1282" width="14.42578125" style="110" customWidth="1"/>
    <col min="1283" max="1285" width="15.140625" style="110" customWidth="1"/>
    <col min="1286" max="1286" width="13.7109375" style="110" customWidth="1"/>
    <col min="1287" max="1287" width="16.28515625" style="110" customWidth="1"/>
    <col min="1288" max="1291" width="7.85546875" style="110"/>
    <col min="1292" max="1292" width="14.7109375" style="110" bestFit="1" customWidth="1"/>
    <col min="1293" max="1534" width="7.85546875" style="110"/>
    <col min="1535" max="1535" width="26.42578125" style="110" customWidth="1"/>
    <col min="1536" max="1536" width="12.28515625" style="110" customWidth="1"/>
    <col min="1537" max="1537" width="14.85546875" style="110" customWidth="1"/>
    <col min="1538" max="1538" width="14.42578125" style="110" customWidth="1"/>
    <col min="1539" max="1541" width="15.140625" style="110" customWidth="1"/>
    <col min="1542" max="1542" width="13.7109375" style="110" customWidth="1"/>
    <col min="1543" max="1543" width="16.28515625" style="110" customWidth="1"/>
    <col min="1544" max="1547" width="7.85546875" style="110"/>
    <col min="1548" max="1548" width="14.7109375" style="110" bestFit="1" customWidth="1"/>
    <col min="1549" max="1790" width="7.85546875" style="110"/>
    <col min="1791" max="1791" width="26.42578125" style="110" customWidth="1"/>
    <col min="1792" max="1792" width="12.28515625" style="110" customWidth="1"/>
    <col min="1793" max="1793" width="14.85546875" style="110" customWidth="1"/>
    <col min="1794" max="1794" width="14.42578125" style="110" customWidth="1"/>
    <col min="1795" max="1797" width="15.140625" style="110" customWidth="1"/>
    <col min="1798" max="1798" width="13.7109375" style="110" customWidth="1"/>
    <col min="1799" max="1799" width="16.28515625" style="110" customWidth="1"/>
    <col min="1800" max="1803" width="7.85546875" style="110"/>
    <col min="1804" max="1804" width="14.7109375" style="110" bestFit="1" customWidth="1"/>
    <col min="1805" max="2046" width="7.85546875" style="110"/>
    <col min="2047" max="2047" width="26.42578125" style="110" customWidth="1"/>
    <col min="2048" max="2048" width="12.28515625" style="110" customWidth="1"/>
    <col min="2049" max="2049" width="14.85546875" style="110" customWidth="1"/>
    <col min="2050" max="2050" width="14.42578125" style="110" customWidth="1"/>
    <col min="2051" max="2053" width="15.140625" style="110" customWidth="1"/>
    <col min="2054" max="2054" width="13.7109375" style="110" customWidth="1"/>
    <col min="2055" max="2055" width="16.28515625" style="110" customWidth="1"/>
    <col min="2056" max="2059" width="7.85546875" style="110"/>
    <col min="2060" max="2060" width="14.7109375" style="110" bestFit="1" customWidth="1"/>
    <col min="2061" max="2302" width="7.85546875" style="110"/>
    <col min="2303" max="2303" width="26.42578125" style="110" customWidth="1"/>
    <col min="2304" max="2304" width="12.28515625" style="110" customWidth="1"/>
    <col min="2305" max="2305" width="14.85546875" style="110" customWidth="1"/>
    <col min="2306" max="2306" width="14.42578125" style="110" customWidth="1"/>
    <col min="2307" max="2309" width="15.140625" style="110" customWidth="1"/>
    <col min="2310" max="2310" width="13.7109375" style="110" customWidth="1"/>
    <col min="2311" max="2311" width="16.28515625" style="110" customWidth="1"/>
    <col min="2312" max="2315" width="7.85546875" style="110"/>
    <col min="2316" max="2316" width="14.7109375" style="110" bestFit="1" customWidth="1"/>
    <col min="2317" max="2558" width="7.85546875" style="110"/>
    <col min="2559" max="2559" width="26.42578125" style="110" customWidth="1"/>
    <col min="2560" max="2560" width="12.28515625" style="110" customWidth="1"/>
    <col min="2561" max="2561" width="14.85546875" style="110" customWidth="1"/>
    <col min="2562" max="2562" width="14.42578125" style="110" customWidth="1"/>
    <col min="2563" max="2565" width="15.140625" style="110" customWidth="1"/>
    <col min="2566" max="2566" width="13.7109375" style="110" customWidth="1"/>
    <col min="2567" max="2567" width="16.28515625" style="110" customWidth="1"/>
    <col min="2568" max="2571" width="7.85546875" style="110"/>
    <col min="2572" max="2572" width="14.7109375" style="110" bestFit="1" customWidth="1"/>
    <col min="2573" max="2814" width="7.85546875" style="110"/>
    <col min="2815" max="2815" width="26.42578125" style="110" customWidth="1"/>
    <col min="2816" max="2816" width="12.28515625" style="110" customWidth="1"/>
    <col min="2817" max="2817" width="14.85546875" style="110" customWidth="1"/>
    <col min="2818" max="2818" width="14.42578125" style="110" customWidth="1"/>
    <col min="2819" max="2821" width="15.140625" style="110" customWidth="1"/>
    <col min="2822" max="2822" width="13.7109375" style="110" customWidth="1"/>
    <col min="2823" max="2823" width="16.28515625" style="110" customWidth="1"/>
    <col min="2824" max="2827" width="7.85546875" style="110"/>
    <col min="2828" max="2828" width="14.7109375" style="110" bestFit="1" customWidth="1"/>
    <col min="2829" max="3070" width="7.85546875" style="110"/>
    <col min="3071" max="3071" width="26.42578125" style="110" customWidth="1"/>
    <col min="3072" max="3072" width="12.28515625" style="110" customWidth="1"/>
    <col min="3073" max="3073" width="14.85546875" style="110" customWidth="1"/>
    <col min="3074" max="3074" width="14.42578125" style="110" customWidth="1"/>
    <col min="3075" max="3077" width="15.140625" style="110" customWidth="1"/>
    <col min="3078" max="3078" width="13.7109375" style="110" customWidth="1"/>
    <col min="3079" max="3079" width="16.28515625" style="110" customWidth="1"/>
    <col min="3080" max="3083" width="7.85546875" style="110"/>
    <col min="3084" max="3084" width="14.7109375" style="110" bestFit="1" customWidth="1"/>
    <col min="3085" max="3326" width="7.85546875" style="110"/>
    <col min="3327" max="3327" width="26.42578125" style="110" customWidth="1"/>
    <col min="3328" max="3328" width="12.28515625" style="110" customWidth="1"/>
    <col min="3329" max="3329" width="14.85546875" style="110" customWidth="1"/>
    <col min="3330" max="3330" width="14.42578125" style="110" customWidth="1"/>
    <col min="3331" max="3333" width="15.140625" style="110" customWidth="1"/>
    <col min="3334" max="3334" width="13.7109375" style="110" customWidth="1"/>
    <col min="3335" max="3335" width="16.28515625" style="110" customWidth="1"/>
    <col min="3336" max="3339" width="7.85546875" style="110"/>
    <col min="3340" max="3340" width="14.7109375" style="110" bestFit="1" customWidth="1"/>
    <col min="3341" max="3582" width="7.85546875" style="110"/>
    <col min="3583" max="3583" width="26.42578125" style="110" customWidth="1"/>
    <col min="3584" max="3584" width="12.28515625" style="110" customWidth="1"/>
    <col min="3585" max="3585" width="14.85546875" style="110" customWidth="1"/>
    <col min="3586" max="3586" width="14.42578125" style="110" customWidth="1"/>
    <col min="3587" max="3589" width="15.140625" style="110" customWidth="1"/>
    <col min="3590" max="3590" width="13.7109375" style="110" customWidth="1"/>
    <col min="3591" max="3591" width="16.28515625" style="110" customWidth="1"/>
    <col min="3592" max="3595" width="7.85546875" style="110"/>
    <col min="3596" max="3596" width="14.7109375" style="110" bestFit="1" customWidth="1"/>
    <col min="3597" max="3838" width="7.85546875" style="110"/>
    <col min="3839" max="3839" width="26.42578125" style="110" customWidth="1"/>
    <col min="3840" max="3840" width="12.28515625" style="110" customWidth="1"/>
    <col min="3841" max="3841" width="14.85546875" style="110" customWidth="1"/>
    <col min="3842" max="3842" width="14.42578125" style="110" customWidth="1"/>
    <col min="3843" max="3845" width="15.140625" style="110" customWidth="1"/>
    <col min="3846" max="3846" width="13.7109375" style="110" customWidth="1"/>
    <col min="3847" max="3847" width="16.28515625" style="110" customWidth="1"/>
    <col min="3848" max="3851" width="7.85546875" style="110"/>
    <col min="3852" max="3852" width="14.7109375" style="110" bestFit="1" customWidth="1"/>
    <col min="3853" max="4094" width="7.85546875" style="110"/>
    <col min="4095" max="4095" width="26.42578125" style="110" customWidth="1"/>
    <col min="4096" max="4096" width="12.28515625" style="110" customWidth="1"/>
    <col min="4097" max="4097" width="14.85546875" style="110" customWidth="1"/>
    <col min="4098" max="4098" width="14.42578125" style="110" customWidth="1"/>
    <col min="4099" max="4101" width="15.140625" style="110" customWidth="1"/>
    <col min="4102" max="4102" width="13.7109375" style="110" customWidth="1"/>
    <col min="4103" max="4103" width="16.28515625" style="110" customWidth="1"/>
    <col min="4104" max="4107" width="7.85546875" style="110"/>
    <col min="4108" max="4108" width="14.7109375" style="110" bestFit="1" customWidth="1"/>
    <col min="4109" max="4350" width="7.85546875" style="110"/>
    <col min="4351" max="4351" width="26.42578125" style="110" customWidth="1"/>
    <col min="4352" max="4352" width="12.28515625" style="110" customWidth="1"/>
    <col min="4353" max="4353" width="14.85546875" style="110" customWidth="1"/>
    <col min="4354" max="4354" width="14.42578125" style="110" customWidth="1"/>
    <col min="4355" max="4357" width="15.140625" style="110" customWidth="1"/>
    <col min="4358" max="4358" width="13.7109375" style="110" customWidth="1"/>
    <col min="4359" max="4359" width="16.28515625" style="110" customWidth="1"/>
    <col min="4360" max="4363" width="7.85546875" style="110"/>
    <col min="4364" max="4364" width="14.7109375" style="110" bestFit="1" customWidth="1"/>
    <col min="4365" max="4606" width="7.85546875" style="110"/>
    <col min="4607" max="4607" width="26.42578125" style="110" customWidth="1"/>
    <col min="4608" max="4608" width="12.28515625" style="110" customWidth="1"/>
    <col min="4609" max="4609" width="14.85546875" style="110" customWidth="1"/>
    <col min="4610" max="4610" width="14.42578125" style="110" customWidth="1"/>
    <col min="4611" max="4613" width="15.140625" style="110" customWidth="1"/>
    <col min="4614" max="4614" width="13.7109375" style="110" customWidth="1"/>
    <col min="4615" max="4615" width="16.28515625" style="110" customWidth="1"/>
    <col min="4616" max="4619" width="7.85546875" style="110"/>
    <col min="4620" max="4620" width="14.7109375" style="110" bestFit="1" customWidth="1"/>
    <col min="4621" max="4862" width="7.85546875" style="110"/>
    <col min="4863" max="4863" width="26.42578125" style="110" customWidth="1"/>
    <col min="4864" max="4864" width="12.28515625" style="110" customWidth="1"/>
    <col min="4865" max="4865" width="14.85546875" style="110" customWidth="1"/>
    <col min="4866" max="4866" width="14.42578125" style="110" customWidth="1"/>
    <col min="4867" max="4869" width="15.140625" style="110" customWidth="1"/>
    <col min="4870" max="4870" width="13.7109375" style="110" customWidth="1"/>
    <col min="4871" max="4871" width="16.28515625" style="110" customWidth="1"/>
    <col min="4872" max="4875" width="7.85546875" style="110"/>
    <col min="4876" max="4876" width="14.7109375" style="110" bestFit="1" customWidth="1"/>
    <col min="4877" max="5118" width="7.85546875" style="110"/>
    <col min="5119" max="5119" width="26.42578125" style="110" customWidth="1"/>
    <col min="5120" max="5120" width="12.28515625" style="110" customWidth="1"/>
    <col min="5121" max="5121" width="14.85546875" style="110" customWidth="1"/>
    <col min="5122" max="5122" width="14.42578125" style="110" customWidth="1"/>
    <col min="5123" max="5125" width="15.140625" style="110" customWidth="1"/>
    <col min="5126" max="5126" width="13.7109375" style="110" customWidth="1"/>
    <col min="5127" max="5127" width="16.28515625" style="110" customWidth="1"/>
    <col min="5128" max="5131" width="7.85546875" style="110"/>
    <col min="5132" max="5132" width="14.7109375" style="110" bestFit="1" customWidth="1"/>
    <col min="5133" max="5374" width="7.85546875" style="110"/>
    <col min="5375" max="5375" width="26.42578125" style="110" customWidth="1"/>
    <col min="5376" max="5376" width="12.28515625" style="110" customWidth="1"/>
    <col min="5377" max="5377" width="14.85546875" style="110" customWidth="1"/>
    <col min="5378" max="5378" width="14.42578125" style="110" customWidth="1"/>
    <col min="5379" max="5381" width="15.140625" style="110" customWidth="1"/>
    <col min="5382" max="5382" width="13.7109375" style="110" customWidth="1"/>
    <col min="5383" max="5383" width="16.28515625" style="110" customWidth="1"/>
    <col min="5384" max="5387" width="7.85546875" style="110"/>
    <col min="5388" max="5388" width="14.7109375" style="110" bestFit="1" customWidth="1"/>
    <col min="5389" max="5630" width="7.85546875" style="110"/>
    <col min="5631" max="5631" width="26.42578125" style="110" customWidth="1"/>
    <col min="5632" max="5632" width="12.28515625" style="110" customWidth="1"/>
    <col min="5633" max="5633" width="14.85546875" style="110" customWidth="1"/>
    <col min="5634" max="5634" width="14.42578125" style="110" customWidth="1"/>
    <col min="5635" max="5637" width="15.140625" style="110" customWidth="1"/>
    <col min="5638" max="5638" width="13.7109375" style="110" customWidth="1"/>
    <col min="5639" max="5639" width="16.28515625" style="110" customWidth="1"/>
    <col min="5640" max="5643" width="7.85546875" style="110"/>
    <col min="5644" max="5644" width="14.7109375" style="110" bestFit="1" customWidth="1"/>
    <col min="5645" max="5886" width="7.85546875" style="110"/>
    <col min="5887" max="5887" width="26.42578125" style="110" customWidth="1"/>
    <col min="5888" max="5888" width="12.28515625" style="110" customWidth="1"/>
    <col min="5889" max="5889" width="14.85546875" style="110" customWidth="1"/>
    <col min="5890" max="5890" width="14.42578125" style="110" customWidth="1"/>
    <col min="5891" max="5893" width="15.140625" style="110" customWidth="1"/>
    <col min="5894" max="5894" width="13.7109375" style="110" customWidth="1"/>
    <col min="5895" max="5895" width="16.28515625" style="110" customWidth="1"/>
    <col min="5896" max="5899" width="7.85546875" style="110"/>
    <col min="5900" max="5900" width="14.7109375" style="110" bestFit="1" customWidth="1"/>
    <col min="5901" max="6142" width="7.85546875" style="110"/>
    <col min="6143" max="6143" width="26.42578125" style="110" customWidth="1"/>
    <col min="6144" max="6144" width="12.28515625" style="110" customWidth="1"/>
    <col min="6145" max="6145" width="14.85546875" style="110" customWidth="1"/>
    <col min="6146" max="6146" width="14.42578125" style="110" customWidth="1"/>
    <col min="6147" max="6149" width="15.140625" style="110" customWidth="1"/>
    <col min="6150" max="6150" width="13.7109375" style="110" customWidth="1"/>
    <col min="6151" max="6151" width="16.28515625" style="110" customWidth="1"/>
    <col min="6152" max="6155" width="7.85546875" style="110"/>
    <col min="6156" max="6156" width="14.7109375" style="110" bestFit="1" customWidth="1"/>
    <col min="6157" max="6398" width="7.85546875" style="110"/>
    <col min="6399" max="6399" width="26.42578125" style="110" customWidth="1"/>
    <col min="6400" max="6400" width="12.28515625" style="110" customWidth="1"/>
    <col min="6401" max="6401" width="14.85546875" style="110" customWidth="1"/>
    <col min="6402" max="6402" width="14.42578125" style="110" customWidth="1"/>
    <col min="6403" max="6405" width="15.140625" style="110" customWidth="1"/>
    <col min="6406" max="6406" width="13.7109375" style="110" customWidth="1"/>
    <col min="6407" max="6407" width="16.28515625" style="110" customWidth="1"/>
    <col min="6408" max="6411" width="7.85546875" style="110"/>
    <col min="6412" max="6412" width="14.7109375" style="110" bestFit="1" customWidth="1"/>
    <col min="6413" max="6654" width="7.85546875" style="110"/>
    <col min="6655" max="6655" width="26.42578125" style="110" customWidth="1"/>
    <col min="6656" max="6656" width="12.28515625" style="110" customWidth="1"/>
    <col min="6657" max="6657" width="14.85546875" style="110" customWidth="1"/>
    <col min="6658" max="6658" width="14.42578125" style="110" customWidth="1"/>
    <col min="6659" max="6661" width="15.140625" style="110" customWidth="1"/>
    <col min="6662" max="6662" width="13.7109375" style="110" customWidth="1"/>
    <col min="6663" max="6663" width="16.28515625" style="110" customWidth="1"/>
    <col min="6664" max="6667" width="7.85546875" style="110"/>
    <col min="6668" max="6668" width="14.7109375" style="110" bestFit="1" customWidth="1"/>
    <col min="6669" max="6910" width="7.85546875" style="110"/>
    <col min="6911" max="6911" width="26.42578125" style="110" customWidth="1"/>
    <col min="6912" max="6912" width="12.28515625" style="110" customWidth="1"/>
    <col min="6913" max="6913" width="14.85546875" style="110" customWidth="1"/>
    <col min="6914" max="6914" width="14.42578125" style="110" customWidth="1"/>
    <col min="6915" max="6917" width="15.140625" style="110" customWidth="1"/>
    <col min="6918" max="6918" width="13.7109375" style="110" customWidth="1"/>
    <col min="6919" max="6919" width="16.28515625" style="110" customWidth="1"/>
    <col min="6920" max="6923" width="7.85546875" style="110"/>
    <col min="6924" max="6924" width="14.7109375" style="110" bestFit="1" customWidth="1"/>
    <col min="6925" max="7166" width="7.85546875" style="110"/>
    <col min="7167" max="7167" width="26.42578125" style="110" customWidth="1"/>
    <col min="7168" max="7168" width="12.28515625" style="110" customWidth="1"/>
    <col min="7169" max="7169" width="14.85546875" style="110" customWidth="1"/>
    <col min="7170" max="7170" width="14.42578125" style="110" customWidth="1"/>
    <col min="7171" max="7173" width="15.140625" style="110" customWidth="1"/>
    <col min="7174" max="7174" width="13.7109375" style="110" customWidth="1"/>
    <col min="7175" max="7175" width="16.28515625" style="110" customWidth="1"/>
    <col min="7176" max="7179" width="7.85546875" style="110"/>
    <col min="7180" max="7180" width="14.7109375" style="110" bestFit="1" customWidth="1"/>
    <col min="7181" max="7422" width="7.85546875" style="110"/>
    <col min="7423" max="7423" width="26.42578125" style="110" customWidth="1"/>
    <col min="7424" max="7424" width="12.28515625" style="110" customWidth="1"/>
    <col min="7425" max="7425" width="14.85546875" style="110" customWidth="1"/>
    <col min="7426" max="7426" width="14.42578125" style="110" customWidth="1"/>
    <col min="7427" max="7429" width="15.140625" style="110" customWidth="1"/>
    <col min="7430" max="7430" width="13.7109375" style="110" customWidth="1"/>
    <col min="7431" max="7431" width="16.28515625" style="110" customWidth="1"/>
    <col min="7432" max="7435" width="7.85546875" style="110"/>
    <col min="7436" max="7436" width="14.7109375" style="110" bestFit="1" customWidth="1"/>
    <col min="7437" max="7678" width="7.85546875" style="110"/>
    <col min="7679" max="7679" width="26.42578125" style="110" customWidth="1"/>
    <col min="7680" max="7680" width="12.28515625" style="110" customWidth="1"/>
    <col min="7681" max="7681" width="14.85546875" style="110" customWidth="1"/>
    <col min="7682" max="7682" width="14.42578125" style="110" customWidth="1"/>
    <col min="7683" max="7685" width="15.140625" style="110" customWidth="1"/>
    <col min="7686" max="7686" width="13.7109375" style="110" customWidth="1"/>
    <col min="7687" max="7687" width="16.28515625" style="110" customWidth="1"/>
    <col min="7688" max="7691" width="7.85546875" style="110"/>
    <col min="7692" max="7692" width="14.7109375" style="110" bestFit="1" customWidth="1"/>
    <col min="7693" max="7934" width="7.85546875" style="110"/>
    <col min="7935" max="7935" width="26.42578125" style="110" customWidth="1"/>
    <col min="7936" max="7936" width="12.28515625" style="110" customWidth="1"/>
    <col min="7937" max="7937" width="14.85546875" style="110" customWidth="1"/>
    <col min="7938" max="7938" width="14.42578125" style="110" customWidth="1"/>
    <col min="7939" max="7941" width="15.140625" style="110" customWidth="1"/>
    <col min="7942" max="7942" width="13.7109375" style="110" customWidth="1"/>
    <col min="7943" max="7943" width="16.28515625" style="110" customWidth="1"/>
    <col min="7944" max="7947" width="7.85546875" style="110"/>
    <col min="7948" max="7948" width="14.7109375" style="110" bestFit="1" customWidth="1"/>
    <col min="7949" max="8190" width="7.85546875" style="110"/>
    <col min="8191" max="8191" width="26.42578125" style="110" customWidth="1"/>
    <col min="8192" max="8192" width="12.28515625" style="110" customWidth="1"/>
    <col min="8193" max="8193" width="14.85546875" style="110" customWidth="1"/>
    <col min="8194" max="8194" width="14.42578125" style="110" customWidth="1"/>
    <col min="8195" max="8197" width="15.140625" style="110" customWidth="1"/>
    <col min="8198" max="8198" width="13.7109375" style="110" customWidth="1"/>
    <col min="8199" max="8199" width="16.28515625" style="110" customWidth="1"/>
    <col min="8200" max="8203" width="7.85546875" style="110"/>
    <col min="8204" max="8204" width="14.7109375" style="110" bestFit="1" customWidth="1"/>
    <col min="8205" max="8446" width="7.85546875" style="110"/>
    <col min="8447" max="8447" width="26.42578125" style="110" customWidth="1"/>
    <col min="8448" max="8448" width="12.28515625" style="110" customWidth="1"/>
    <col min="8449" max="8449" width="14.85546875" style="110" customWidth="1"/>
    <col min="8450" max="8450" width="14.42578125" style="110" customWidth="1"/>
    <col min="8451" max="8453" width="15.140625" style="110" customWidth="1"/>
    <col min="8454" max="8454" width="13.7109375" style="110" customWidth="1"/>
    <col min="8455" max="8455" width="16.28515625" style="110" customWidth="1"/>
    <col min="8456" max="8459" width="7.85546875" style="110"/>
    <col min="8460" max="8460" width="14.7109375" style="110" bestFit="1" customWidth="1"/>
    <col min="8461" max="8702" width="7.85546875" style="110"/>
    <col min="8703" max="8703" width="26.42578125" style="110" customWidth="1"/>
    <col min="8704" max="8704" width="12.28515625" style="110" customWidth="1"/>
    <col min="8705" max="8705" width="14.85546875" style="110" customWidth="1"/>
    <col min="8706" max="8706" width="14.42578125" style="110" customWidth="1"/>
    <col min="8707" max="8709" width="15.140625" style="110" customWidth="1"/>
    <col min="8710" max="8710" width="13.7109375" style="110" customWidth="1"/>
    <col min="8711" max="8711" width="16.28515625" style="110" customWidth="1"/>
    <col min="8712" max="8715" width="7.85546875" style="110"/>
    <col min="8716" max="8716" width="14.7109375" style="110" bestFit="1" customWidth="1"/>
    <col min="8717" max="8958" width="7.85546875" style="110"/>
    <col min="8959" max="8959" width="26.42578125" style="110" customWidth="1"/>
    <col min="8960" max="8960" width="12.28515625" style="110" customWidth="1"/>
    <col min="8961" max="8961" width="14.85546875" style="110" customWidth="1"/>
    <col min="8962" max="8962" width="14.42578125" style="110" customWidth="1"/>
    <col min="8963" max="8965" width="15.140625" style="110" customWidth="1"/>
    <col min="8966" max="8966" width="13.7109375" style="110" customWidth="1"/>
    <col min="8967" max="8967" width="16.28515625" style="110" customWidth="1"/>
    <col min="8968" max="8971" width="7.85546875" style="110"/>
    <col min="8972" max="8972" width="14.7109375" style="110" bestFit="1" customWidth="1"/>
    <col min="8973" max="9214" width="7.85546875" style="110"/>
    <col min="9215" max="9215" width="26.42578125" style="110" customWidth="1"/>
    <col min="9216" max="9216" width="12.28515625" style="110" customWidth="1"/>
    <col min="9217" max="9217" width="14.85546875" style="110" customWidth="1"/>
    <col min="9218" max="9218" width="14.42578125" style="110" customWidth="1"/>
    <col min="9219" max="9221" width="15.140625" style="110" customWidth="1"/>
    <col min="9222" max="9222" width="13.7109375" style="110" customWidth="1"/>
    <col min="9223" max="9223" width="16.28515625" style="110" customWidth="1"/>
    <col min="9224" max="9227" width="7.85546875" style="110"/>
    <col min="9228" max="9228" width="14.7109375" style="110" bestFit="1" customWidth="1"/>
    <col min="9229" max="9470" width="7.85546875" style="110"/>
    <col min="9471" max="9471" width="26.42578125" style="110" customWidth="1"/>
    <col min="9472" max="9472" width="12.28515625" style="110" customWidth="1"/>
    <col min="9473" max="9473" width="14.85546875" style="110" customWidth="1"/>
    <col min="9474" max="9474" width="14.42578125" style="110" customWidth="1"/>
    <col min="9475" max="9477" width="15.140625" style="110" customWidth="1"/>
    <col min="9478" max="9478" width="13.7109375" style="110" customWidth="1"/>
    <col min="9479" max="9479" width="16.28515625" style="110" customWidth="1"/>
    <col min="9480" max="9483" width="7.85546875" style="110"/>
    <col min="9484" max="9484" width="14.7109375" style="110" bestFit="1" customWidth="1"/>
    <col min="9485" max="9726" width="7.85546875" style="110"/>
    <col min="9727" max="9727" width="26.42578125" style="110" customWidth="1"/>
    <col min="9728" max="9728" width="12.28515625" style="110" customWidth="1"/>
    <col min="9729" max="9729" width="14.85546875" style="110" customWidth="1"/>
    <col min="9730" max="9730" width="14.42578125" style="110" customWidth="1"/>
    <col min="9731" max="9733" width="15.140625" style="110" customWidth="1"/>
    <col min="9734" max="9734" width="13.7109375" style="110" customWidth="1"/>
    <col min="9735" max="9735" width="16.28515625" style="110" customWidth="1"/>
    <col min="9736" max="9739" width="7.85546875" style="110"/>
    <col min="9740" max="9740" width="14.7109375" style="110" bestFit="1" customWidth="1"/>
    <col min="9741" max="9982" width="7.85546875" style="110"/>
    <col min="9983" max="9983" width="26.42578125" style="110" customWidth="1"/>
    <col min="9984" max="9984" width="12.28515625" style="110" customWidth="1"/>
    <col min="9985" max="9985" width="14.85546875" style="110" customWidth="1"/>
    <col min="9986" max="9986" width="14.42578125" style="110" customWidth="1"/>
    <col min="9987" max="9989" width="15.140625" style="110" customWidth="1"/>
    <col min="9990" max="9990" width="13.7109375" style="110" customWidth="1"/>
    <col min="9991" max="9991" width="16.28515625" style="110" customWidth="1"/>
    <col min="9992" max="9995" width="7.85546875" style="110"/>
    <col min="9996" max="9996" width="14.7109375" style="110" bestFit="1" customWidth="1"/>
    <col min="9997" max="10238" width="7.85546875" style="110"/>
    <col min="10239" max="10239" width="26.42578125" style="110" customWidth="1"/>
    <col min="10240" max="10240" width="12.28515625" style="110" customWidth="1"/>
    <col min="10241" max="10241" width="14.85546875" style="110" customWidth="1"/>
    <col min="10242" max="10242" width="14.42578125" style="110" customWidth="1"/>
    <col min="10243" max="10245" width="15.140625" style="110" customWidth="1"/>
    <col min="10246" max="10246" width="13.7109375" style="110" customWidth="1"/>
    <col min="10247" max="10247" width="16.28515625" style="110" customWidth="1"/>
    <col min="10248" max="10251" width="7.85546875" style="110"/>
    <col min="10252" max="10252" width="14.7109375" style="110" bestFit="1" customWidth="1"/>
    <col min="10253" max="10494" width="7.85546875" style="110"/>
    <col min="10495" max="10495" width="26.42578125" style="110" customWidth="1"/>
    <col min="10496" max="10496" width="12.28515625" style="110" customWidth="1"/>
    <col min="10497" max="10497" width="14.85546875" style="110" customWidth="1"/>
    <col min="10498" max="10498" width="14.42578125" style="110" customWidth="1"/>
    <col min="10499" max="10501" width="15.140625" style="110" customWidth="1"/>
    <col min="10502" max="10502" width="13.7109375" style="110" customWidth="1"/>
    <col min="10503" max="10503" width="16.28515625" style="110" customWidth="1"/>
    <col min="10504" max="10507" width="7.85546875" style="110"/>
    <col min="10508" max="10508" width="14.7109375" style="110" bestFit="1" customWidth="1"/>
    <col min="10509" max="10750" width="7.85546875" style="110"/>
    <col min="10751" max="10751" width="26.42578125" style="110" customWidth="1"/>
    <col min="10752" max="10752" width="12.28515625" style="110" customWidth="1"/>
    <col min="10753" max="10753" width="14.85546875" style="110" customWidth="1"/>
    <col min="10754" max="10754" width="14.42578125" style="110" customWidth="1"/>
    <col min="10755" max="10757" width="15.140625" style="110" customWidth="1"/>
    <col min="10758" max="10758" width="13.7109375" style="110" customWidth="1"/>
    <col min="10759" max="10759" width="16.28515625" style="110" customWidth="1"/>
    <col min="10760" max="10763" width="7.85546875" style="110"/>
    <col min="10764" max="10764" width="14.7109375" style="110" bestFit="1" customWidth="1"/>
    <col min="10765" max="11006" width="7.85546875" style="110"/>
    <col min="11007" max="11007" width="26.42578125" style="110" customWidth="1"/>
    <col min="11008" max="11008" width="12.28515625" style="110" customWidth="1"/>
    <col min="11009" max="11009" width="14.85546875" style="110" customWidth="1"/>
    <col min="11010" max="11010" width="14.42578125" style="110" customWidth="1"/>
    <col min="11011" max="11013" width="15.140625" style="110" customWidth="1"/>
    <col min="11014" max="11014" width="13.7109375" style="110" customWidth="1"/>
    <col min="11015" max="11015" width="16.28515625" style="110" customWidth="1"/>
    <col min="11016" max="11019" width="7.85546875" style="110"/>
    <col min="11020" max="11020" width="14.7109375" style="110" bestFit="1" customWidth="1"/>
    <col min="11021" max="11262" width="7.85546875" style="110"/>
    <col min="11263" max="11263" width="26.42578125" style="110" customWidth="1"/>
    <col min="11264" max="11264" width="12.28515625" style="110" customWidth="1"/>
    <col min="11265" max="11265" width="14.85546875" style="110" customWidth="1"/>
    <col min="11266" max="11266" width="14.42578125" style="110" customWidth="1"/>
    <col min="11267" max="11269" width="15.140625" style="110" customWidth="1"/>
    <col min="11270" max="11270" width="13.7109375" style="110" customWidth="1"/>
    <col min="11271" max="11271" width="16.28515625" style="110" customWidth="1"/>
    <col min="11272" max="11275" width="7.85546875" style="110"/>
    <col min="11276" max="11276" width="14.7109375" style="110" bestFit="1" customWidth="1"/>
    <col min="11277" max="11518" width="7.85546875" style="110"/>
    <col min="11519" max="11519" width="26.42578125" style="110" customWidth="1"/>
    <col min="11520" max="11520" width="12.28515625" style="110" customWidth="1"/>
    <col min="11521" max="11521" width="14.85546875" style="110" customWidth="1"/>
    <col min="11522" max="11522" width="14.42578125" style="110" customWidth="1"/>
    <col min="11523" max="11525" width="15.140625" style="110" customWidth="1"/>
    <col min="11526" max="11526" width="13.7109375" style="110" customWidth="1"/>
    <col min="11527" max="11527" width="16.28515625" style="110" customWidth="1"/>
    <col min="11528" max="11531" width="7.85546875" style="110"/>
    <col min="11532" max="11532" width="14.7109375" style="110" bestFit="1" customWidth="1"/>
    <col min="11533" max="11774" width="7.85546875" style="110"/>
    <col min="11775" max="11775" width="26.42578125" style="110" customWidth="1"/>
    <col min="11776" max="11776" width="12.28515625" style="110" customWidth="1"/>
    <col min="11777" max="11777" width="14.85546875" style="110" customWidth="1"/>
    <col min="11778" max="11778" width="14.42578125" style="110" customWidth="1"/>
    <col min="11779" max="11781" width="15.140625" style="110" customWidth="1"/>
    <col min="11782" max="11782" width="13.7109375" style="110" customWidth="1"/>
    <col min="11783" max="11783" width="16.28515625" style="110" customWidth="1"/>
    <col min="11784" max="11787" width="7.85546875" style="110"/>
    <col min="11788" max="11788" width="14.7109375" style="110" bestFit="1" customWidth="1"/>
    <col min="11789" max="12030" width="7.85546875" style="110"/>
    <col min="12031" max="12031" width="26.42578125" style="110" customWidth="1"/>
    <col min="12032" max="12032" width="12.28515625" style="110" customWidth="1"/>
    <col min="12033" max="12033" width="14.85546875" style="110" customWidth="1"/>
    <col min="12034" max="12034" width="14.42578125" style="110" customWidth="1"/>
    <col min="12035" max="12037" width="15.140625" style="110" customWidth="1"/>
    <col min="12038" max="12038" width="13.7109375" style="110" customWidth="1"/>
    <col min="12039" max="12039" width="16.28515625" style="110" customWidth="1"/>
    <col min="12040" max="12043" width="7.85546875" style="110"/>
    <col min="12044" max="12044" width="14.7109375" style="110" bestFit="1" customWidth="1"/>
    <col min="12045" max="12286" width="7.85546875" style="110"/>
    <col min="12287" max="12287" width="26.42578125" style="110" customWidth="1"/>
    <col min="12288" max="12288" width="12.28515625" style="110" customWidth="1"/>
    <col min="12289" max="12289" width="14.85546875" style="110" customWidth="1"/>
    <col min="12290" max="12290" width="14.42578125" style="110" customWidth="1"/>
    <col min="12291" max="12293" width="15.140625" style="110" customWidth="1"/>
    <col min="12294" max="12294" width="13.7109375" style="110" customWidth="1"/>
    <col min="12295" max="12295" width="16.28515625" style="110" customWidth="1"/>
    <col min="12296" max="12299" width="7.85546875" style="110"/>
    <col min="12300" max="12300" width="14.7109375" style="110" bestFit="1" customWidth="1"/>
    <col min="12301" max="12542" width="7.85546875" style="110"/>
    <col min="12543" max="12543" width="26.42578125" style="110" customWidth="1"/>
    <col min="12544" max="12544" width="12.28515625" style="110" customWidth="1"/>
    <col min="12545" max="12545" width="14.85546875" style="110" customWidth="1"/>
    <col min="12546" max="12546" width="14.42578125" style="110" customWidth="1"/>
    <col min="12547" max="12549" width="15.140625" style="110" customWidth="1"/>
    <col min="12550" max="12550" width="13.7109375" style="110" customWidth="1"/>
    <col min="12551" max="12551" width="16.28515625" style="110" customWidth="1"/>
    <col min="12552" max="12555" width="7.85546875" style="110"/>
    <col min="12556" max="12556" width="14.7109375" style="110" bestFit="1" customWidth="1"/>
    <col min="12557" max="12798" width="7.85546875" style="110"/>
    <col min="12799" max="12799" width="26.42578125" style="110" customWidth="1"/>
    <col min="12800" max="12800" width="12.28515625" style="110" customWidth="1"/>
    <col min="12801" max="12801" width="14.85546875" style="110" customWidth="1"/>
    <col min="12802" max="12802" width="14.42578125" style="110" customWidth="1"/>
    <col min="12803" max="12805" width="15.140625" style="110" customWidth="1"/>
    <col min="12806" max="12806" width="13.7109375" style="110" customWidth="1"/>
    <col min="12807" max="12807" width="16.28515625" style="110" customWidth="1"/>
    <col min="12808" max="12811" width="7.85546875" style="110"/>
    <col min="12812" max="12812" width="14.7109375" style="110" bestFit="1" customWidth="1"/>
    <col min="12813" max="13054" width="7.85546875" style="110"/>
    <col min="13055" max="13055" width="26.42578125" style="110" customWidth="1"/>
    <col min="13056" max="13056" width="12.28515625" style="110" customWidth="1"/>
    <col min="13057" max="13057" width="14.85546875" style="110" customWidth="1"/>
    <col min="13058" max="13058" width="14.42578125" style="110" customWidth="1"/>
    <col min="13059" max="13061" width="15.140625" style="110" customWidth="1"/>
    <col min="13062" max="13062" width="13.7109375" style="110" customWidth="1"/>
    <col min="13063" max="13063" width="16.28515625" style="110" customWidth="1"/>
    <col min="13064" max="13067" width="7.85546875" style="110"/>
    <col min="13068" max="13068" width="14.7109375" style="110" bestFit="1" customWidth="1"/>
    <col min="13069" max="13310" width="7.85546875" style="110"/>
    <col min="13311" max="13311" width="26.42578125" style="110" customWidth="1"/>
    <col min="13312" max="13312" width="12.28515625" style="110" customWidth="1"/>
    <col min="13313" max="13313" width="14.85546875" style="110" customWidth="1"/>
    <col min="13314" max="13314" width="14.42578125" style="110" customWidth="1"/>
    <col min="13315" max="13317" width="15.140625" style="110" customWidth="1"/>
    <col min="13318" max="13318" width="13.7109375" style="110" customWidth="1"/>
    <col min="13319" max="13319" width="16.28515625" style="110" customWidth="1"/>
    <col min="13320" max="13323" width="7.85546875" style="110"/>
    <col min="13324" max="13324" width="14.7109375" style="110" bestFit="1" customWidth="1"/>
    <col min="13325" max="13566" width="7.85546875" style="110"/>
    <col min="13567" max="13567" width="26.42578125" style="110" customWidth="1"/>
    <col min="13568" max="13568" width="12.28515625" style="110" customWidth="1"/>
    <col min="13569" max="13569" width="14.85546875" style="110" customWidth="1"/>
    <col min="13570" max="13570" width="14.42578125" style="110" customWidth="1"/>
    <col min="13571" max="13573" width="15.140625" style="110" customWidth="1"/>
    <col min="13574" max="13574" width="13.7109375" style="110" customWidth="1"/>
    <col min="13575" max="13575" width="16.28515625" style="110" customWidth="1"/>
    <col min="13576" max="13579" width="7.85546875" style="110"/>
    <col min="13580" max="13580" width="14.7109375" style="110" bestFit="1" customWidth="1"/>
    <col min="13581" max="13822" width="7.85546875" style="110"/>
    <col min="13823" max="13823" width="26.42578125" style="110" customWidth="1"/>
    <col min="13824" max="13824" width="12.28515625" style="110" customWidth="1"/>
    <col min="13825" max="13825" width="14.85546875" style="110" customWidth="1"/>
    <col min="13826" max="13826" width="14.42578125" style="110" customWidth="1"/>
    <col min="13827" max="13829" width="15.140625" style="110" customWidth="1"/>
    <col min="13830" max="13830" width="13.7109375" style="110" customWidth="1"/>
    <col min="13831" max="13831" width="16.28515625" style="110" customWidth="1"/>
    <col min="13832" max="13835" width="7.85546875" style="110"/>
    <col min="13836" max="13836" width="14.7109375" style="110" bestFit="1" customWidth="1"/>
    <col min="13837" max="14078" width="7.85546875" style="110"/>
    <col min="14079" max="14079" width="26.42578125" style="110" customWidth="1"/>
    <col min="14080" max="14080" width="12.28515625" style="110" customWidth="1"/>
    <col min="14081" max="14081" width="14.85546875" style="110" customWidth="1"/>
    <col min="14082" max="14082" width="14.42578125" style="110" customWidth="1"/>
    <col min="14083" max="14085" width="15.140625" style="110" customWidth="1"/>
    <col min="14086" max="14086" width="13.7109375" style="110" customWidth="1"/>
    <col min="14087" max="14087" width="16.28515625" style="110" customWidth="1"/>
    <col min="14088" max="14091" width="7.85546875" style="110"/>
    <col min="14092" max="14092" width="14.7109375" style="110" bestFit="1" customWidth="1"/>
    <col min="14093" max="14334" width="7.85546875" style="110"/>
    <col min="14335" max="14335" width="26.42578125" style="110" customWidth="1"/>
    <col min="14336" max="14336" width="12.28515625" style="110" customWidth="1"/>
    <col min="14337" max="14337" width="14.85546875" style="110" customWidth="1"/>
    <col min="14338" max="14338" width="14.42578125" style="110" customWidth="1"/>
    <col min="14339" max="14341" width="15.140625" style="110" customWidth="1"/>
    <col min="14342" max="14342" width="13.7109375" style="110" customWidth="1"/>
    <col min="14343" max="14343" width="16.28515625" style="110" customWidth="1"/>
    <col min="14344" max="14347" width="7.85546875" style="110"/>
    <col min="14348" max="14348" width="14.7109375" style="110" bestFit="1" customWidth="1"/>
    <col min="14349" max="14590" width="7.85546875" style="110"/>
    <col min="14591" max="14591" width="26.42578125" style="110" customWidth="1"/>
    <col min="14592" max="14592" width="12.28515625" style="110" customWidth="1"/>
    <col min="14593" max="14593" width="14.85546875" style="110" customWidth="1"/>
    <col min="14594" max="14594" width="14.42578125" style="110" customWidth="1"/>
    <col min="14595" max="14597" width="15.140625" style="110" customWidth="1"/>
    <col min="14598" max="14598" width="13.7109375" style="110" customWidth="1"/>
    <col min="14599" max="14599" width="16.28515625" style="110" customWidth="1"/>
    <col min="14600" max="14603" width="7.85546875" style="110"/>
    <col min="14604" max="14604" width="14.7109375" style="110" bestFit="1" customWidth="1"/>
    <col min="14605" max="14846" width="7.85546875" style="110"/>
    <col min="14847" max="14847" width="26.42578125" style="110" customWidth="1"/>
    <col min="14848" max="14848" width="12.28515625" style="110" customWidth="1"/>
    <col min="14849" max="14849" width="14.85546875" style="110" customWidth="1"/>
    <col min="14850" max="14850" width="14.42578125" style="110" customWidth="1"/>
    <col min="14851" max="14853" width="15.140625" style="110" customWidth="1"/>
    <col min="14854" max="14854" width="13.7109375" style="110" customWidth="1"/>
    <col min="14855" max="14855" width="16.28515625" style="110" customWidth="1"/>
    <col min="14856" max="14859" width="7.85546875" style="110"/>
    <col min="14860" max="14860" width="14.7109375" style="110" bestFit="1" customWidth="1"/>
    <col min="14861" max="15102" width="7.85546875" style="110"/>
    <col min="15103" max="15103" width="26.42578125" style="110" customWidth="1"/>
    <col min="15104" max="15104" width="12.28515625" style="110" customWidth="1"/>
    <col min="15105" max="15105" width="14.85546875" style="110" customWidth="1"/>
    <col min="15106" max="15106" width="14.42578125" style="110" customWidth="1"/>
    <col min="15107" max="15109" width="15.140625" style="110" customWidth="1"/>
    <col min="15110" max="15110" width="13.7109375" style="110" customWidth="1"/>
    <col min="15111" max="15111" width="16.28515625" style="110" customWidth="1"/>
    <col min="15112" max="15115" width="7.85546875" style="110"/>
    <col min="15116" max="15116" width="14.7109375" style="110" bestFit="1" customWidth="1"/>
    <col min="15117" max="15358" width="7.85546875" style="110"/>
    <col min="15359" max="15359" width="26.42578125" style="110" customWidth="1"/>
    <col min="15360" max="15360" width="12.28515625" style="110" customWidth="1"/>
    <col min="15361" max="15361" width="14.85546875" style="110" customWidth="1"/>
    <col min="15362" max="15362" width="14.42578125" style="110" customWidth="1"/>
    <col min="15363" max="15365" width="15.140625" style="110" customWidth="1"/>
    <col min="15366" max="15366" width="13.7109375" style="110" customWidth="1"/>
    <col min="15367" max="15367" width="16.28515625" style="110" customWidth="1"/>
    <col min="15368" max="15371" width="7.85546875" style="110"/>
    <col min="15372" max="15372" width="14.7109375" style="110" bestFit="1" customWidth="1"/>
    <col min="15373" max="15614" width="7.85546875" style="110"/>
    <col min="15615" max="15615" width="26.42578125" style="110" customWidth="1"/>
    <col min="15616" max="15616" width="12.28515625" style="110" customWidth="1"/>
    <col min="15617" max="15617" width="14.85546875" style="110" customWidth="1"/>
    <col min="15618" max="15618" width="14.42578125" style="110" customWidth="1"/>
    <col min="15619" max="15621" width="15.140625" style="110" customWidth="1"/>
    <col min="15622" max="15622" width="13.7109375" style="110" customWidth="1"/>
    <col min="15623" max="15623" width="16.28515625" style="110" customWidth="1"/>
    <col min="15624" max="15627" width="7.85546875" style="110"/>
    <col min="15628" max="15628" width="14.7109375" style="110" bestFit="1" customWidth="1"/>
    <col min="15629" max="15870" width="7.85546875" style="110"/>
    <col min="15871" max="15871" width="26.42578125" style="110" customWidth="1"/>
    <col min="15872" max="15872" width="12.28515625" style="110" customWidth="1"/>
    <col min="15873" max="15873" width="14.85546875" style="110" customWidth="1"/>
    <col min="15874" max="15874" width="14.42578125" style="110" customWidth="1"/>
    <col min="15875" max="15877" width="15.140625" style="110" customWidth="1"/>
    <col min="15878" max="15878" width="13.7109375" style="110" customWidth="1"/>
    <col min="15879" max="15879" width="16.28515625" style="110" customWidth="1"/>
    <col min="15880" max="15883" width="7.85546875" style="110"/>
    <col min="15884" max="15884" width="14.7109375" style="110" bestFit="1" customWidth="1"/>
    <col min="15885" max="16126" width="7.85546875" style="110"/>
    <col min="16127" max="16127" width="26.42578125" style="110" customWidth="1"/>
    <col min="16128" max="16128" width="12.28515625" style="110" customWidth="1"/>
    <col min="16129" max="16129" width="14.85546875" style="110" customWidth="1"/>
    <col min="16130" max="16130" width="14.42578125" style="110" customWidth="1"/>
    <col min="16131" max="16133" width="15.140625" style="110" customWidth="1"/>
    <col min="16134" max="16134" width="13.7109375" style="110" customWidth="1"/>
    <col min="16135" max="16135" width="16.28515625" style="110" customWidth="1"/>
    <col min="16136" max="16139" width="7.85546875" style="110"/>
    <col min="16140" max="16140" width="14.7109375" style="110" bestFit="1" customWidth="1"/>
    <col min="16141" max="16384" width="7.85546875" style="110"/>
  </cols>
  <sheetData>
    <row r="1" spans="1:12" x14ac:dyDescent="0.2">
      <c r="F1" s="110" t="s">
        <v>144</v>
      </c>
    </row>
    <row r="4" spans="1:12" x14ac:dyDescent="0.2">
      <c r="J4" s="184"/>
    </row>
    <row r="5" spans="1:12" ht="15.75" customHeight="1" x14ac:dyDescent="0.25">
      <c r="A5" s="267" t="s">
        <v>190</v>
      </c>
      <c r="B5" s="267"/>
      <c r="C5" s="267"/>
      <c r="D5" s="267"/>
      <c r="E5" s="267"/>
      <c r="F5" s="267"/>
      <c r="G5" s="267"/>
      <c r="H5" s="267"/>
      <c r="I5" s="267"/>
    </row>
    <row r="6" spans="1:12" s="114" customFormat="1" ht="21.75" customHeight="1" x14ac:dyDescent="0.35">
      <c r="A6" s="111" t="s">
        <v>0</v>
      </c>
      <c r="B6" s="112"/>
      <c r="C6" s="113"/>
      <c r="D6" s="113"/>
      <c r="E6" s="113"/>
      <c r="F6" s="113"/>
      <c r="G6" s="113"/>
      <c r="H6" s="113"/>
      <c r="I6" s="113"/>
    </row>
    <row r="7" spans="1:12" s="116" customFormat="1" ht="15.75" x14ac:dyDescent="0.25">
      <c r="A7" s="115" t="s">
        <v>101</v>
      </c>
    </row>
    <row r="8" spans="1:12" s="118" customFormat="1" ht="25.5" customHeight="1" x14ac:dyDescent="0.2">
      <c r="A8" s="117" t="s">
        <v>3</v>
      </c>
      <c r="B8" s="117" t="s">
        <v>102</v>
      </c>
      <c r="C8" s="117" t="s">
        <v>103</v>
      </c>
      <c r="D8" s="117" t="s">
        <v>104</v>
      </c>
      <c r="E8" s="117" t="s">
        <v>105</v>
      </c>
      <c r="F8" s="117" t="s">
        <v>106</v>
      </c>
      <c r="G8" s="117" t="s">
        <v>107</v>
      </c>
      <c r="H8" s="117" t="s">
        <v>108</v>
      </c>
      <c r="I8" s="117" t="s">
        <v>109</v>
      </c>
      <c r="L8" s="118" t="s">
        <v>140</v>
      </c>
    </row>
    <row r="9" spans="1:12" customFormat="1" ht="17.25" customHeight="1" x14ac:dyDescent="0.25">
      <c r="A9" s="119" t="s">
        <v>110</v>
      </c>
      <c r="B9" s="120"/>
      <c r="C9" s="121"/>
      <c r="D9" s="122"/>
      <c r="E9" s="122"/>
      <c r="F9" s="122"/>
      <c r="G9" s="122"/>
      <c r="H9" s="122"/>
      <c r="I9" s="123"/>
    </row>
    <row r="10" spans="1:12" customFormat="1" ht="12.95" customHeight="1" x14ac:dyDescent="0.25">
      <c r="A10" s="124" t="s">
        <v>66</v>
      </c>
      <c r="B10" s="125">
        <v>1</v>
      </c>
      <c r="C10" s="128">
        <v>40.5</v>
      </c>
      <c r="D10" s="126">
        <v>11</v>
      </c>
      <c r="E10" s="127">
        <v>0</v>
      </c>
      <c r="F10" s="127">
        <f t="shared" ref="F10:F16" si="0">(((C10*2.2*12)*B10)*1.7+((C10*11*5)*B10)*2)</f>
        <v>6272.64</v>
      </c>
      <c r="G10" s="127">
        <v>0</v>
      </c>
      <c r="H10" s="127">
        <f>C10*220*B10+(220*C10)*B10</f>
        <v>17820</v>
      </c>
      <c r="I10" s="182">
        <f t="shared" ref="I10:I16" si="1">E10+F10+G10+H10</f>
        <v>24092.639999999999</v>
      </c>
      <c r="J10" s="183"/>
      <c r="L10" s="100">
        <f>170*C10*B10</f>
        <v>6885</v>
      </c>
    </row>
    <row r="11" spans="1:12" customFormat="1" ht="12.95" customHeight="1" x14ac:dyDescent="0.25">
      <c r="A11" s="124" t="s">
        <v>99</v>
      </c>
      <c r="B11" s="125">
        <v>1</v>
      </c>
      <c r="C11" s="202">
        <f>19.24*1.3</f>
        <v>25.012</v>
      </c>
      <c r="D11" s="126">
        <v>11</v>
      </c>
      <c r="E11" s="127">
        <v>0</v>
      </c>
      <c r="F11" s="127">
        <f t="shared" si="0"/>
        <v>3873.8585600000001</v>
      </c>
      <c r="G11" s="127">
        <v>0</v>
      </c>
      <c r="H11" s="127">
        <f>(C11*220)*B11+(220*C11)*B11</f>
        <v>11005.28</v>
      </c>
      <c r="I11" s="182">
        <f t="shared" si="1"/>
        <v>14879.138560000001</v>
      </c>
      <c r="L11" s="100">
        <f>170*C11*B11</f>
        <v>4252.04</v>
      </c>
    </row>
    <row r="12" spans="1:12" customFormat="1" ht="12.95" customHeight="1" x14ac:dyDescent="0.25">
      <c r="A12" s="124" t="s">
        <v>67</v>
      </c>
      <c r="B12" s="125">
        <v>3</v>
      </c>
      <c r="C12" s="128">
        <f>(4070.76/220)*1.04</f>
        <v>19.243592727272727</v>
      </c>
      <c r="D12" s="126" t="s">
        <v>111</v>
      </c>
      <c r="E12" s="127">
        <v>0</v>
      </c>
      <c r="F12" s="127">
        <f t="shared" si="0"/>
        <v>8941.3429247999993</v>
      </c>
      <c r="G12" s="127">
        <f>((C12*8*15)*0.4)*B12/2</f>
        <v>1385.5386763636366</v>
      </c>
      <c r="H12" s="127">
        <f t="shared" ref="H12:H16" si="2">C12*220*B12</f>
        <v>12700.771199999999</v>
      </c>
      <c r="I12" s="182">
        <f t="shared" si="1"/>
        <v>23027.652801163633</v>
      </c>
      <c r="K12" s="110"/>
      <c r="L12" s="100">
        <f t="shared" ref="L12:L22" si="3">170*C12*B12</f>
        <v>9814.2322909090908</v>
      </c>
    </row>
    <row r="13" spans="1:12" customFormat="1" ht="12.95" customHeight="1" x14ac:dyDescent="0.25">
      <c r="A13" s="124" t="s">
        <v>68</v>
      </c>
      <c r="B13" s="125">
        <v>2</v>
      </c>
      <c r="C13" s="128">
        <f>(2366.15/220)*1.04</f>
        <v>11.185436363636365</v>
      </c>
      <c r="D13" s="126" t="s">
        <v>111</v>
      </c>
      <c r="E13" s="127">
        <v>0</v>
      </c>
      <c r="F13" s="127">
        <f t="shared" si="0"/>
        <v>3464.8007680000005</v>
      </c>
      <c r="G13" s="127">
        <f>((C13*8*15)*0.4)*B13/2</f>
        <v>536.90094545454554</v>
      </c>
      <c r="H13" s="127">
        <f t="shared" si="2"/>
        <v>4921.5920000000006</v>
      </c>
      <c r="I13" s="182">
        <f t="shared" si="1"/>
        <v>8923.2937134545464</v>
      </c>
      <c r="L13" s="100">
        <f t="shared" si="3"/>
        <v>3803.0483636363642</v>
      </c>
    </row>
    <row r="14" spans="1:12" customFormat="1" ht="12.95" customHeight="1" x14ac:dyDescent="0.25">
      <c r="A14" s="124" t="s">
        <v>76</v>
      </c>
      <c r="B14" s="125">
        <v>2</v>
      </c>
      <c r="C14" s="128">
        <f>(2002/220)*1.04</f>
        <v>9.4640000000000004</v>
      </c>
      <c r="D14" s="126" t="s">
        <v>111</v>
      </c>
      <c r="E14" s="127">
        <v>0</v>
      </c>
      <c r="F14" s="127">
        <f t="shared" si="0"/>
        <v>2931.56864</v>
      </c>
      <c r="G14" s="127">
        <f>((C14*8*15)*0.4)*B14/2</f>
        <v>454.27200000000005</v>
      </c>
      <c r="H14" s="127">
        <f t="shared" si="2"/>
        <v>4164.16</v>
      </c>
      <c r="I14" s="182">
        <f t="shared" si="1"/>
        <v>7550.0006400000002</v>
      </c>
      <c r="J14" s="100"/>
      <c r="L14" s="100">
        <f t="shared" si="3"/>
        <v>3217.76</v>
      </c>
    </row>
    <row r="15" spans="1:12" customFormat="1" ht="12.95" customHeight="1" x14ac:dyDescent="0.25">
      <c r="A15" s="124" t="s">
        <v>69</v>
      </c>
      <c r="B15" s="125">
        <v>2</v>
      </c>
      <c r="C15" s="128">
        <v>33.28</v>
      </c>
      <c r="D15" s="126" t="s">
        <v>111</v>
      </c>
      <c r="E15" s="127">
        <v>0</v>
      </c>
      <c r="F15" s="127">
        <f t="shared" si="0"/>
        <v>10308.8128</v>
      </c>
      <c r="G15" s="127">
        <f>((C15*8*15)*0.4)*B15</f>
        <v>3194.8800000000006</v>
      </c>
      <c r="H15" s="127">
        <f t="shared" si="2"/>
        <v>14643.2</v>
      </c>
      <c r="I15" s="182">
        <f t="shared" si="1"/>
        <v>28146.892800000001</v>
      </c>
      <c r="J15" s="101"/>
      <c r="L15" s="100">
        <f t="shared" si="3"/>
        <v>11315.2</v>
      </c>
    </row>
    <row r="16" spans="1:12" customFormat="1" ht="12.95" customHeight="1" x14ac:dyDescent="0.25">
      <c r="A16" s="124" t="s">
        <v>112</v>
      </c>
      <c r="B16" s="125">
        <v>8</v>
      </c>
      <c r="C16" s="128">
        <v>17.68</v>
      </c>
      <c r="D16" s="126" t="s">
        <v>111</v>
      </c>
      <c r="E16" s="127">
        <v>0</v>
      </c>
      <c r="F16" s="127">
        <f t="shared" si="0"/>
        <v>21906.227200000001</v>
      </c>
      <c r="G16" s="127">
        <f>((C16*8*15)*0.4)*3</f>
        <v>2545.92</v>
      </c>
      <c r="H16" s="127">
        <f t="shared" si="2"/>
        <v>31116.799999999999</v>
      </c>
      <c r="I16" s="182">
        <f t="shared" si="1"/>
        <v>55568.947199999995</v>
      </c>
      <c r="L16" s="100">
        <f t="shared" si="3"/>
        <v>24044.799999999999</v>
      </c>
    </row>
    <row r="17" spans="1:12" customFormat="1" ht="12.95" customHeight="1" x14ac:dyDescent="0.25">
      <c r="A17" s="129" t="s">
        <v>113</v>
      </c>
      <c r="B17" s="125"/>
      <c r="C17" s="128"/>
      <c r="D17" s="126"/>
      <c r="E17" s="127"/>
      <c r="F17" s="127"/>
      <c r="G17" s="127"/>
      <c r="H17" s="127"/>
      <c r="I17" s="130"/>
      <c r="L17" s="100">
        <f t="shared" si="3"/>
        <v>0</v>
      </c>
    </row>
    <row r="18" spans="1:12" customFormat="1" ht="12.95" customHeight="1" x14ac:dyDescent="0.25">
      <c r="A18" s="124" t="s">
        <v>70</v>
      </c>
      <c r="B18" s="125">
        <v>40</v>
      </c>
      <c r="C18" s="128">
        <f>(2133.56/220)*1.04</f>
        <v>10.085920000000002</v>
      </c>
      <c r="D18" s="126" t="s">
        <v>111</v>
      </c>
      <c r="E18" s="127">
        <v>0</v>
      </c>
      <c r="F18" s="127">
        <f>(((C18*2.2*12)*B18)*1.7+((C18*11*5)*B18)*2)</f>
        <v>62484.291584000021</v>
      </c>
      <c r="G18" s="127">
        <f>((C18*8*15)*0.4)*16</f>
        <v>7745.9865600000021</v>
      </c>
      <c r="H18" s="127">
        <f>C18*220*B18</f>
        <v>88756.09600000002</v>
      </c>
      <c r="I18" s="182">
        <f>E18+F18+G18+H18</f>
        <v>158986.37414400006</v>
      </c>
      <c r="J18" s="110"/>
      <c r="L18" s="100">
        <f t="shared" si="3"/>
        <v>68584.256000000008</v>
      </c>
    </row>
    <row r="19" spans="1:12" customFormat="1" ht="12.95" customHeight="1" x14ac:dyDescent="0.25">
      <c r="A19" s="124" t="s">
        <v>71</v>
      </c>
      <c r="B19" s="125">
        <v>55</v>
      </c>
      <c r="C19" s="128">
        <f>(1114.48/220)*1.04</f>
        <v>5.2684509090909097</v>
      </c>
      <c r="D19" s="126" t="s">
        <v>111</v>
      </c>
      <c r="E19" s="127">
        <v>0</v>
      </c>
      <c r="F19" s="127">
        <f>(((C19*2.2*12)*B19)*1.7+((C19*11*5)*B19)*2)</f>
        <v>44878.772224000008</v>
      </c>
      <c r="G19" s="127">
        <f>((C19*8*15)*0.4)*19</f>
        <v>4804.827229090909</v>
      </c>
      <c r="H19" s="127">
        <f>C19*220*B19</f>
        <v>63748.256000000008</v>
      </c>
      <c r="I19" s="182">
        <f>E19+F19+G19+H19</f>
        <v>113431.85545309092</v>
      </c>
      <c r="J19" s="110"/>
      <c r="L19" s="100">
        <f t="shared" si="3"/>
        <v>49260.016000000011</v>
      </c>
    </row>
    <row r="20" spans="1:12" customFormat="1" ht="12.95" customHeight="1" x14ac:dyDescent="0.25">
      <c r="A20" s="124" t="s">
        <v>72</v>
      </c>
      <c r="B20" s="125">
        <v>6</v>
      </c>
      <c r="C20" s="128">
        <f>(1913.15/220)*1.04</f>
        <v>9.0439818181818197</v>
      </c>
      <c r="D20" s="126" t="s">
        <v>111</v>
      </c>
      <c r="E20" s="127">
        <v>0</v>
      </c>
      <c r="F20" s="127">
        <f>(((C20*2.2*12)*B20)*1.7+((C20*11*5)*B20)*2)</f>
        <v>8404.3914240000013</v>
      </c>
      <c r="G20" s="127">
        <f>((C20*8*15)*0.4)*B20/2</f>
        <v>1302.3333818181823</v>
      </c>
      <c r="H20" s="127">
        <f>C20*220*B20</f>
        <v>11938.056000000002</v>
      </c>
      <c r="I20" s="182">
        <f>E20+F20+G20+H20</f>
        <v>21644.780805818184</v>
      </c>
      <c r="L20" s="100">
        <f t="shared" si="3"/>
        <v>9224.8614545454566</v>
      </c>
    </row>
    <row r="21" spans="1:12" customFormat="1" ht="12.95" customHeight="1" x14ac:dyDescent="0.25">
      <c r="A21" s="124" t="s">
        <v>73</v>
      </c>
      <c r="B21" s="125">
        <v>8</v>
      </c>
      <c r="C21" s="128">
        <f>(2002/220)*1.04</f>
        <v>9.4640000000000004</v>
      </c>
      <c r="D21" s="126" t="s">
        <v>111</v>
      </c>
      <c r="E21" s="127">
        <v>0</v>
      </c>
      <c r="F21" s="127">
        <f>(((C21*2.2*12)*B21)*1.7+((C21*11*5)*B21)*2)</f>
        <v>11726.27456</v>
      </c>
      <c r="G21" s="127">
        <f>((C21*8*15)*0.4)*3</f>
        <v>1362.8160000000003</v>
      </c>
      <c r="H21" s="127">
        <f>C21*220*B21</f>
        <v>16656.64</v>
      </c>
      <c r="I21" s="182">
        <f>E21+F21+G21+H21</f>
        <v>29745.73056</v>
      </c>
      <c r="L21" s="100">
        <f t="shared" si="3"/>
        <v>12871.04</v>
      </c>
    </row>
    <row r="22" spans="1:12" customFormat="1" ht="12.95" customHeight="1" x14ac:dyDescent="0.25">
      <c r="A22" s="124" t="s">
        <v>74</v>
      </c>
      <c r="B22" s="125">
        <v>7</v>
      </c>
      <c r="C22" s="128">
        <f>(2002/220)*1.04</f>
        <v>9.4640000000000004</v>
      </c>
      <c r="D22" s="126" t="s">
        <v>111</v>
      </c>
      <c r="E22" s="127">
        <v>0</v>
      </c>
      <c r="F22" s="127">
        <f>(((C22*2.2*10)*B22)*1.7+((C22*11*5)*B22)*2)</f>
        <v>9764.9552000000003</v>
      </c>
      <c r="G22" s="127">
        <f>((C22*8*15)*0.4)*3</f>
        <v>1362.8160000000003</v>
      </c>
      <c r="H22" s="127">
        <f>C22*220*B22</f>
        <v>14574.56</v>
      </c>
      <c r="I22" s="182">
        <f>E22+F22+G22+H22</f>
        <v>25702.331200000001</v>
      </c>
      <c r="L22" s="100">
        <f t="shared" si="3"/>
        <v>11262.16</v>
      </c>
    </row>
    <row r="23" spans="1:12" customFormat="1" ht="12.95" customHeight="1" x14ac:dyDescent="0.25">
      <c r="A23" s="131"/>
      <c r="B23" s="125"/>
      <c r="C23" s="132"/>
      <c r="D23" s="126"/>
      <c r="E23" s="126"/>
      <c r="F23" s="126"/>
      <c r="G23" s="126"/>
      <c r="H23" s="133"/>
      <c r="I23" s="134"/>
      <c r="L23" s="180">
        <f>SUM(L10:L22)</f>
        <v>214534.41410909093</v>
      </c>
    </row>
    <row r="24" spans="1:12" customFormat="1" ht="12.95" customHeight="1" x14ac:dyDescent="0.25">
      <c r="A24" s="129"/>
      <c r="B24" s="135"/>
      <c r="C24" s="132"/>
      <c r="D24" s="126"/>
      <c r="E24" s="126"/>
      <c r="F24" s="126"/>
      <c r="G24" s="126"/>
      <c r="H24" s="126"/>
      <c r="I24" s="136"/>
    </row>
    <row r="25" spans="1:12" customFormat="1" ht="12.95" customHeight="1" x14ac:dyDescent="0.25">
      <c r="A25" s="137"/>
      <c r="B25" s="138"/>
      <c r="C25" s="132"/>
      <c r="D25" s="126"/>
      <c r="E25" s="139"/>
      <c r="F25" s="139"/>
      <c r="G25" s="139"/>
      <c r="H25" s="133"/>
      <c r="I25" s="134"/>
    </row>
    <row r="26" spans="1:12" customFormat="1" ht="14.1" customHeight="1" x14ac:dyDescent="0.25">
      <c r="A26" s="140" t="s">
        <v>114</v>
      </c>
      <c r="B26" s="141"/>
      <c r="C26" s="142"/>
      <c r="D26" s="143"/>
      <c r="E26" s="143"/>
      <c r="F26" s="143"/>
      <c r="G26" s="143"/>
      <c r="H26" s="143"/>
      <c r="I26" s="144"/>
    </row>
    <row r="27" spans="1:12" s="116" customFormat="1" ht="14.25" customHeight="1" x14ac:dyDescent="0.2">
      <c r="C27" s="145"/>
      <c r="D27" s="268" t="s">
        <v>115</v>
      </c>
      <c r="E27" s="269"/>
      <c r="F27" s="269"/>
      <c r="G27" s="269"/>
      <c r="H27" s="270"/>
      <c r="I27" s="146">
        <f>SUM(I10:I25)</f>
        <v>511699.63787752733</v>
      </c>
      <c r="L27" s="262"/>
    </row>
    <row r="28" spans="1:12" s="116" customFormat="1" ht="17.25" customHeight="1" x14ac:dyDescent="0.25">
      <c r="A28" s="115" t="s">
        <v>116</v>
      </c>
    </row>
    <row r="29" spans="1:12" s="116" customFormat="1" ht="13.5" customHeight="1" x14ac:dyDescent="0.2">
      <c r="A29" s="147" t="s">
        <v>117</v>
      </c>
      <c r="B29" s="148" t="s">
        <v>118</v>
      </c>
      <c r="C29" s="149" t="s">
        <v>119</v>
      </c>
      <c r="D29" s="150"/>
      <c r="E29" s="150"/>
      <c r="F29" s="150"/>
      <c r="G29" s="150"/>
      <c r="H29" s="150"/>
    </row>
    <row r="30" spans="1:12" s="116" customFormat="1" ht="15.75" hidden="1" customHeight="1" x14ac:dyDescent="0.2">
      <c r="A30" s="151" t="s">
        <v>120</v>
      </c>
      <c r="B30" s="152"/>
      <c r="C30" s="153"/>
      <c r="D30" s="154"/>
      <c r="E30" s="154"/>
      <c r="F30" s="154"/>
      <c r="G30" s="154"/>
      <c r="H30" s="154"/>
    </row>
    <row r="31" spans="1:12" s="116" customFormat="1" ht="12.75" hidden="1" x14ac:dyDescent="0.2">
      <c r="A31" s="155" t="s">
        <v>121</v>
      </c>
      <c r="B31" s="156">
        <v>0.2</v>
      </c>
      <c r="C31" s="157">
        <f>I27*B31</f>
        <v>102339.92757550547</v>
      </c>
      <c r="D31" s="154"/>
      <c r="E31" s="154"/>
      <c r="F31" s="154"/>
      <c r="G31" s="154"/>
      <c r="H31" s="154"/>
    </row>
    <row r="32" spans="1:12" s="116" customFormat="1" ht="12.75" hidden="1" x14ac:dyDescent="0.2">
      <c r="A32" s="155" t="s">
        <v>122</v>
      </c>
      <c r="B32" s="156">
        <v>8.5000000000000006E-2</v>
      </c>
      <c r="C32" s="157">
        <f>I27*B32</f>
        <v>43494.469219589824</v>
      </c>
      <c r="D32" s="158"/>
      <c r="E32" s="158"/>
      <c r="F32" s="158"/>
      <c r="G32" s="158"/>
      <c r="H32" s="154"/>
    </row>
    <row r="33" spans="1:8" s="116" customFormat="1" ht="12.75" hidden="1" x14ac:dyDescent="0.2">
      <c r="A33" s="155"/>
      <c r="B33" s="156"/>
      <c r="C33" s="157"/>
      <c r="D33" s="158"/>
      <c r="E33" s="158"/>
      <c r="F33" s="158"/>
      <c r="G33" s="158"/>
      <c r="H33" s="154"/>
    </row>
    <row r="34" spans="1:8" s="116" customFormat="1" ht="15.75" hidden="1" customHeight="1" x14ac:dyDescent="0.2">
      <c r="A34" s="159" t="s">
        <v>123</v>
      </c>
      <c r="B34" s="160"/>
      <c r="C34" s="161"/>
      <c r="D34" s="154"/>
      <c r="E34" s="154"/>
      <c r="F34" s="154"/>
      <c r="G34" s="154"/>
      <c r="H34" s="154"/>
    </row>
    <row r="35" spans="1:8" s="116" customFormat="1" ht="12.95" hidden="1" customHeight="1" x14ac:dyDescent="0.2">
      <c r="A35" s="155" t="s">
        <v>124</v>
      </c>
      <c r="B35" s="156">
        <v>0.1091</v>
      </c>
      <c r="C35" s="157">
        <f>I27*B35</f>
        <v>55826.43049243823</v>
      </c>
      <c r="D35" s="154"/>
      <c r="E35" s="154"/>
      <c r="F35" s="154"/>
      <c r="G35" s="154"/>
      <c r="H35" s="154"/>
    </row>
    <row r="36" spans="1:8" s="116" customFormat="1" ht="12.75" hidden="1" x14ac:dyDescent="0.2">
      <c r="A36" s="155" t="s">
        <v>125</v>
      </c>
      <c r="B36" s="156">
        <v>9.4500000000000001E-2</v>
      </c>
      <c r="C36" s="157">
        <f>I27*B36</f>
        <v>48355.615779426334</v>
      </c>
      <c r="D36" s="154"/>
      <c r="E36" s="154"/>
      <c r="F36" s="154"/>
      <c r="G36" s="154"/>
      <c r="H36" s="154"/>
    </row>
    <row r="37" spans="1:8" s="116" customFormat="1" ht="12.75" hidden="1" x14ac:dyDescent="0.2">
      <c r="A37" s="155" t="s">
        <v>126</v>
      </c>
      <c r="B37" s="162">
        <v>5.4999999999999997E-3</v>
      </c>
      <c r="C37" s="157">
        <f>I27*B37</f>
        <v>2814.3480083264003</v>
      </c>
      <c r="D37" s="154"/>
      <c r="E37" s="154"/>
      <c r="F37" s="154"/>
      <c r="G37" s="154"/>
      <c r="H37" s="154"/>
    </row>
    <row r="38" spans="1:8" s="116" customFormat="1" ht="12.75" hidden="1" x14ac:dyDescent="0.2">
      <c r="A38" s="155" t="s">
        <v>127</v>
      </c>
      <c r="B38" s="156">
        <v>0.5</v>
      </c>
      <c r="C38" s="157">
        <f>I27*B38</f>
        <v>255849.81893876367</v>
      </c>
      <c r="D38" s="154"/>
      <c r="E38" s="154"/>
      <c r="F38" s="154"/>
      <c r="G38" s="154"/>
      <c r="H38" s="154"/>
    </row>
    <row r="39" spans="1:8" s="116" customFormat="1" ht="12.75" hidden="1" x14ac:dyDescent="0.2">
      <c r="A39" s="155"/>
      <c r="B39" s="163"/>
      <c r="C39" s="157"/>
      <c r="D39" s="154"/>
      <c r="E39" s="154"/>
      <c r="F39" s="154"/>
      <c r="G39" s="154"/>
      <c r="H39" s="154"/>
    </row>
    <row r="40" spans="1:8" s="116" customFormat="1" ht="15.75" hidden="1" customHeight="1" x14ac:dyDescent="0.2">
      <c r="A40" s="159" t="s">
        <v>128</v>
      </c>
      <c r="B40" s="160"/>
      <c r="C40" s="164"/>
      <c r="D40" s="154"/>
      <c r="E40" s="154"/>
      <c r="F40" s="154"/>
      <c r="G40" s="154"/>
      <c r="H40" s="154"/>
    </row>
    <row r="41" spans="1:8" s="116" customFormat="1" ht="10.5" hidden="1" customHeight="1" x14ac:dyDescent="0.2">
      <c r="A41" s="159"/>
      <c r="B41" s="160"/>
      <c r="C41" s="164"/>
      <c r="D41" s="154"/>
      <c r="E41" s="154"/>
      <c r="F41" s="154"/>
      <c r="G41" s="154"/>
      <c r="H41" s="154"/>
    </row>
    <row r="42" spans="1:8" s="116" customFormat="1" ht="12.95" hidden="1" customHeight="1" x14ac:dyDescent="0.2">
      <c r="A42" s="155" t="s">
        <v>129</v>
      </c>
      <c r="B42" s="156">
        <v>7.9299999999999995E-2</v>
      </c>
      <c r="C42" s="157">
        <f>I27*B42</f>
        <v>40577.781283687917</v>
      </c>
      <c r="D42" s="154"/>
      <c r="E42" s="154"/>
      <c r="F42" s="154"/>
      <c r="G42" s="154"/>
      <c r="H42" s="154"/>
    </row>
    <row r="43" spans="1:8" s="116" customFormat="1" ht="12.95" hidden="1" customHeight="1" x14ac:dyDescent="0.2">
      <c r="A43" s="155"/>
      <c r="B43" s="156"/>
      <c r="C43" s="157"/>
      <c r="D43" s="154"/>
      <c r="E43" s="154"/>
      <c r="F43" s="154"/>
      <c r="G43" s="154"/>
      <c r="H43" s="154"/>
    </row>
    <row r="44" spans="1:8" s="116" customFormat="1" ht="15.75" hidden="1" customHeight="1" x14ac:dyDescent="0.2">
      <c r="A44" s="159" t="s">
        <v>130</v>
      </c>
      <c r="B44" s="160"/>
      <c r="C44" s="164"/>
      <c r="D44" s="154"/>
      <c r="E44" s="154"/>
      <c r="F44" s="154"/>
      <c r="G44" s="154"/>
      <c r="H44" s="154"/>
    </row>
    <row r="45" spans="1:8" s="116" customFormat="1" ht="8.25" hidden="1" customHeight="1" x14ac:dyDescent="0.2">
      <c r="A45" s="159"/>
      <c r="B45" s="165"/>
      <c r="C45" s="164"/>
      <c r="D45" s="154"/>
      <c r="E45" s="154"/>
      <c r="F45" s="154"/>
      <c r="G45" s="154"/>
      <c r="H45" s="154"/>
    </row>
    <row r="46" spans="1:8" s="116" customFormat="1" ht="12.95" hidden="1" customHeight="1" x14ac:dyDescent="0.2">
      <c r="A46" s="155" t="s">
        <v>131</v>
      </c>
      <c r="B46" s="166" t="s">
        <v>132</v>
      </c>
      <c r="C46" s="157">
        <f>50/100*C32</f>
        <v>21747.234609794912</v>
      </c>
      <c r="D46" s="154"/>
      <c r="E46" s="154"/>
      <c r="F46" s="154"/>
      <c r="G46" s="154"/>
      <c r="H46" s="154"/>
    </row>
    <row r="47" spans="1:8" s="116" customFormat="1" ht="12.75" hidden="1" x14ac:dyDescent="0.2">
      <c r="A47" s="167"/>
      <c r="B47" s="168"/>
      <c r="C47" s="169"/>
      <c r="D47" s="154"/>
      <c r="E47" s="154"/>
      <c r="F47" s="154"/>
      <c r="G47" s="154"/>
      <c r="H47" s="154"/>
    </row>
    <row r="48" spans="1:8" s="116" customFormat="1" ht="14.25" customHeight="1" x14ac:dyDescent="0.2">
      <c r="A48" s="170" t="s">
        <v>133</v>
      </c>
      <c r="B48" s="171"/>
      <c r="C48" s="172">
        <f>SUM(C31:C47)</f>
        <v>571005.62590753275</v>
      </c>
      <c r="D48" s="173"/>
      <c r="E48" s="174"/>
      <c r="F48" s="174"/>
      <c r="G48" s="174"/>
      <c r="H48" s="175"/>
    </row>
    <row r="49" spans="1:9" s="116" customFormat="1" ht="7.5" customHeight="1" x14ac:dyDescent="0.2">
      <c r="B49" s="150"/>
    </row>
    <row r="50" spans="1:9" s="116" customFormat="1" ht="14.25" customHeight="1" x14ac:dyDescent="0.2">
      <c r="A50" s="176"/>
      <c r="C50" s="177"/>
      <c r="D50" s="271" t="s">
        <v>134</v>
      </c>
      <c r="E50" s="272"/>
      <c r="F50" s="178"/>
      <c r="G50" s="178"/>
      <c r="H50" s="273">
        <f>C48+I27</f>
        <v>1082705.26378506</v>
      </c>
      <c r="I50" s="274"/>
    </row>
    <row r="51" spans="1:9" s="116" customFormat="1" ht="14.25" customHeight="1" x14ac:dyDescent="0.2">
      <c r="A51" s="176"/>
      <c r="C51" s="177"/>
      <c r="D51" s="235"/>
      <c r="E51" s="235"/>
      <c r="F51" s="235"/>
      <c r="G51" s="235"/>
      <c r="H51" s="236"/>
      <c r="I51" s="236"/>
    </row>
    <row r="52" spans="1:9" s="116" customFormat="1" ht="29.25" customHeight="1" x14ac:dyDescent="0.2">
      <c r="A52" s="275" t="s">
        <v>181</v>
      </c>
      <c r="B52" s="276"/>
      <c r="C52" s="276"/>
      <c r="D52" s="276"/>
      <c r="E52" s="276"/>
      <c r="F52" s="276"/>
      <c r="G52" s="277"/>
    </row>
    <row r="53" spans="1:9" s="116" customFormat="1" x14ac:dyDescent="0.2">
      <c r="A53" s="237"/>
      <c r="B53" s="238" t="s">
        <v>145</v>
      </c>
      <c r="C53" s="238" t="s">
        <v>146</v>
      </c>
      <c r="D53" s="239" t="s">
        <v>147</v>
      </c>
      <c r="E53" s="239" t="s">
        <v>148</v>
      </c>
      <c r="F53" s="239" t="s">
        <v>149</v>
      </c>
      <c r="G53" s="239" t="s">
        <v>141</v>
      </c>
    </row>
    <row r="54" spans="1:9" s="116" customFormat="1" ht="12.75" x14ac:dyDescent="0.2">
      <c r="A54" s="124" t="s">
        <v>66</v>
      </c>
      <c r="B54" s="125">
        <v>1</v>
      </c>
      <c r="C54" s="187">
        <v>60</v>
      </c>
      <c r="D54" s="181">
        <v>5.4</v>
      </c>
      <c r="E54" s="181">
        <v>12.96</v>
      </c>
      <c r="F54" s="188">
        <v>10</v>
      </c>
      <c r="G54" s="189">
        <f>(B54*C54*(D54+E54+F54))+(33*(D54+E54))</f>
        <v>2307.48</v>
      </c>
      <c r="H54" s="266" t="s">
        <v>151</v>
      </c>
    </row>
    <row r="55" spans="1:9" s="116" customFormat="1" ht="12.75" x14ac:dyDescent="0.2">
      <c r="A55" s="124" t="s">
        <v>99</v>
      </c>
      <c r="B55" s="125">
        <v>1</v>
      </c>
      <c r="C55" s="187">
        <v>60</v>
      </c>
      <c r="D55" s="181">
        <v>5.4</v>
      </c>
      <c r="E55" s="181">
        <v>12.96</v>
      </c>
      <c r="F55" s="188">
        <v>10</v>
      </c>
      <c r="G55" s="189">
        <f>(B55*C55*(D55+E55+F55))+(33*(D55+E55))</f>
        <v>2307.48</v>
      </c>
      <c r="H55" s="266"/>
    </row>
    <row r="56" spans="1:9" s="116" customFormat="1" ht="12.75" x14ac:dyDescent="0.2">
      <c r="A56" s="124" t="s">
        <v>67</v>
      </c>
      <c r="B56" s="125">
        <v>2</v>
      </c>
      <c r="C56" s="187">
        <v>30</v>
      </c>
      <c r="D56" s="181">
        <v>5.4</v>
      </c>
      <c r="E56" s="181">
        <v>12.96</v>
      </c>
      <c r="F56" s="188">
        <v>10</v>
      </c>
      <c r="G56" s="189">
        <f t="shared" ref="G56:G65" si="4">(B56*C56*(D56+E56+F56))</f>
        <v>1701.6</v>
      </c>
      <c r="H56" s="266"/>
    </row>
    <row r="57" spans="1:9" s="116" customFormat="1" ht="12.75" x14ac:dyDescent="0.2">
      <c r="A57" s="124" t="s">
        <v>68</v>
      </c>
      <c r="B57" s="125">
        <v>1</v>
      </c>
      <c r="C57" s="187">
        <v>30</v>
      </c>
      <c r="D57" s="181">
        <v>5.4</v>
      </c>
      <c r="E57" s="181">
        <v>12.96</v>
      </c>
      <c r="F57" s="188">
        <v>10</v>
      </c>
      <c r="G57" s="189">
        <f t="shared" si="4"/>
        <v>850.8</v>
      </c>
      <c r="H57" s="266"/>
    </row>
    <row r="58" spans="1:9" s="116" customFormat="1" ht="12.75" x14ac:dyDescent="0.2">
      <c r="A58" s="124" t="s">
        <v>76</v>
      </c>
      <c r="B58" s="125">
        <v>1</v>
      </c>
      <c r="C58" s="187">
        <v>30</v>
      </c>
      <c r="D58" s="181">
        <v>5.4</v>
      </c>
      <c r="E58" s="181">
        <v>12.96</v>
      </c>
      <c r="F58" s="188">
        <v>10</v>
      </c>
      <c r="G58" s="189">
        <f t="shared" si="4"/>
        <v>850.8</v>
      </c>
      <c r="H58" s="266"/>
    </row>
    <row r="59" spans="1:9" s="116" customFormat="1" ht="12.75" x14ac:dyDescent="0.2">
      <c r="A59" s="124" t="s">
        <v>69</v>
      </c>
      <c r="B59" s="125">
        <v>1</v>
      </c>
      <c r="C59" s="187">
        <v>30</v>
      </c>
      <c r="D59" s="181">
        <v>5.4</v>
      </c>
      <c r="E59" s="181">
        <v>12.96</v>
      </c>
      <c r="F59" s="188">
        <v>10</v>
      </c>
      <c r="G59" s="189">
        <f t="shared" si="4"/>
        <v>850.8</v>
      </c>
      <c r="H59" s="266"/>
    </row>
    <row r="60" spans="1:9" s="116" customFormat="1" ht="12.75" x14ac:dyDescent="0.2">
      <c r="A60" s="124" t="s">
        <v>112</v>
      </c>
      <c r="B60" s="125">
        <v>4</v>
      </c>
      <c r="C60" s="187">
        <v>30</v>
      </c>
      <c r="D60" s="181">
        <v>5.4</v>
      </c>
      <c r="E60" s="181">
        <v>12.96</v>
      </c>
      <c r="F60" s="188">
        <v>10</v>
      </c>
      <c r="G60" s="189">
        <f t="shared" si="4"/>
        <v>3403.2</v>
      </c>
      <c r="H60" s="266"/>
    </row>
    <row r="61" spans="1:9" s="116" customFormat="1" ht="12.75" x14ac:dyDescent="0.2">
      <c r="A61" s="124" t="s">
        <v>70</v>
      </c>
      <c r="B61" s="125">
        <v>30</v>
      </c>
      <c r="C61" s="187">
        <v>20</v>
      </c>
      <c r="D61" s="181">
        <v>5.4</v>
      </c>
      <c r="E61" s="181">
        <v>12.96</v>
      </c>
      <c r="F61" s="188">
        <v>10</v>
      </c>
      <c r="G61" s="189">
        <f t="shared" si="4"/>
        <v>17016</v>
      </c>
      <c r="H61" s="266"/>
    </row>
    <row r="62" spans="1:9" s="116" customFormat="1" ht="12.75" x14ac:dyDescent="0.2">
      <c r="A62" s="124" t="s">
        <v>71</v>
      </c>
      <c r="B62" s="125">
        <v>36</v>
      </c>
      <c r="C62" s="187">
        <v>20</v>
      </c>
      <c r="D62" s="181">
        <v>5.4</v>
      </c>
      <c r="E62" s="181">
        <v>12.96</v>
      </c>
      <c r="F62" s="188">
        <v>10</v>
      </c>
      <c r="G62" s="189">
        <f t="shared" si="4"/>
        <v>20419.2</v>
      </c>
      <c r="H62" s="266"/>
    </row>
    <row r="63" spans="1:9" s="116" customFormat="1" ht="12.75" x14ac:dyDescent="0.2">
      <c r="A63" s="124" t="s">
        <v>72</v>
      </c>
      <c r="B63" s="125">
        <v>3</v>
      </c>
      <c r="C63" s="187">
        <v>20</v>
      </c>
      <c r="D63" s="181">
        <v>5.4</v>
      </c>
      <c r="E63" s="181">
        <v>12.96</v>
      </c>
      <c r="F63" s="188">
        <v>10</v>
      </c>
      <c r="G63" s="189">
        <f t="shared" si="4"/>
        <v>1701.6</v>
      </c>
      <c r="H63" s="266"/>
    </row>
    <row r="64" spans="1:9" s="116" customFormat="1" ht="12.75" x14ac:dyDescent="0.2">
      <c r="A64" s="124" t="s">
        <v>73</v>
      </c>
      <c r="B64" s="125">
        <v>5</v>
      </c>
      <c r="C64" s="187">
        <v>20</v>
      </c>
      <c r="D64" s="181">
        <v>5.4</v>
      </c>
      <c r="E64" s="181">
        <v>12.96</v>
      </c>
      <c r="F64" s="188">
        <v>10</v>
      </c>
      <c r="G64" s="189">
        <f t="shared" si="4"/>
        <v>2836</v>
      </c>
      <c r="H64" s="266"/>
    </row>
    <row r="65" spans="1:8" s="116" customFormat="1" ht="12.75" x14ac:dyDescent="0.2">
      <c r="A65" s="124" t="s">
        <v>74</v>
      </c>
      <c r="B65" s="125">
        <v>4</v>
      </c>
      <c r="C65" s="187">
        <v>20</v>
      </c>
      <c r="D65" s="181">
        <v>5.4</v>
      </c>
      <c r="E65" s="181">
        <v>12.96</v>
      </c>
      <c r="F65" s="188">
        <v>10</v>
      </c>
      <c r="G65" s="189">
        <f t="shared" si="4"/>
        <v>2268.8000000000002</v>
      </c>
      <c r="H65" s="266"/>
    </row>
    <row r="66" spans="1:8" s="116" customFormat="1" ht="12.75" x14ac:dyDescent="0.2">
      <c r="G66" s="190">
        <f>SUM(G54:G65)</f>
        <v>56513.760000000002</v>
      </c>
    </row>
    <row r="67" spans="1:8" x14ac:dyDescent="0.2">
      <c r="A67" s="185"/>
      <c r="B67" s="186" t="s">
        <v>145</v>
      </c>
      <c r="C67" s="186" t="s">
        <v>146</v>
      </c>
      <c r="D67" s="181" t="s">
        <v>149</v>
      </c>
      <c r="E67" s="181" t="s">
        <v>150</v>
      </c>
      <c r="F67" s="181" t="s">
        <v>149</v>
      </c>
      <c r="G67" s="181" t="s">
        <v>141</v>
      </c>
    </row>
    <row r="68" spans="1:8" x14ac:dyDescent="0.2">
      <c r="A68" s="124" t="s">
        <v>67</v>
      </c>
      <c r="B68" s="125">
        <v>1</v>
      </c>
      <c r="C68" s="187">
        <v>30</v>
      </c>
      <c r="D68" s="188">
        <v>10</v>
      </c>
      <c r="E68" s="181">
        <v>12.96</v>
      </c>
      <c r="F68" s="188">
        <v>10</v>
      </c>
      <c r="G68" s="189">
        <f>(B68*C68*(D68+E68+F68))</f>
        <v>988.80000000000007</v>
      </c>
      <c r="H68" s="278" t="s">
        <v>152</v>
      </c>
    </row>
    <row r="69" spans="1:8" x14ac:dyDescent="0.2">
      <c r="A69" s="124" t="s">
        <v>68</v>
      </c>
      <c r="B69" s="125">
        <v>1</v>
      </c>
      <c r="C69" s="187">
        <v>30</v>
      </c>
      <c r="D69" s="188">
        <v>10</v>
      </c>
      <c r="E69" s="181">
        <v>12.96</v>
      </c>
      <c r="F69" s="188">
        <v>10</v>
      </c>
      <c r="G69" s="189">
        <f>(B69*C69*(D69+E69+F69))</f>
        <v>988.80000000000007</v>
      </c>
      <c r="H69" s="278"/>
    </row>
    <row r="70" spans="1:8" x14ac:dyDescent="0.2">
      <c r="A70" s="124" t="s">
        <v>76</v>
      </c>
      <c r="B70" s="125">
        <v>1</v>
      </c>
      <c r="C70" s="187">
        <v>30</v>
      </c>
      <c r="D70" s="188">
        <v>10</v>
      </c>
      <c r="E70" s="181">
        <v>12.96</v>
      </c>
      <c r="F70" s="188">
        <v>10</v>
      </c>
      <c r="G70" s="189">
        <f>(B70*C70*(D70+E70+F70))</f>
        <v>988.80000000000007</v>
      </c>
      <c r="H70" s="278"/>
    </row>
    <row r="71" spans="1:8" x14ac:dyDescent="0.2">
      <c r="A71" s="124" t="s">
        <v>69</v>
      </c>
      <c r="B71" s="125">
        <v>1</v>
      </c>
      <c r="C71" s="187">
        <v>30</v>
      </c>
      <c r="D71" s="188">
        <v>10</v>
      </c>
      <c r="E71" s="181">
        <v>12.96</v>
      </c>
      <c r="F71" s="188">
        <v>10</v>
      </c>
      <c r="G71" s="189">
        <f>(B71*C71*(D71+E71+F71))</f>
        <v>988.80000000000007</v>
      </c>
      <c r="H71" s="278"/>
    </row>
    <row r="72" spans="1:8" x14ac:dyDescent="0.2">
      <c r="A72" s="124" t="s">
        <v>112</v>
      </c>
      <c r="B72" s="125">
        <v>4</v>
      </c>
      <c r="C72" s="187">
        <v>30</v>
      </c>
      <c r="D72" s="188">
        <v>10</v>
      </c>
      <c r="E72" s="181">
        <v>12.96</v>
      </c>
      <c r="F72" s="188">
        <v>10</v>
      </c>
      <c r="G72" s="189">
        <f t="shared" ref="G72:G77" si="5">(B72*C72*(D72+E72+F72))</f>
        <v>3955.2000000000003</v>
      </c>
      <c r="H72" s="278"/>
    </row>
    <row r="73" spans="1:8" x14ac:dyDescent="0.2">
      <c r="A73" s="124" t="s">
        <v>70</v>
      </c>
      <c r="B73" s="125">
        <v>10</v>
      </c>
      <c r="C73" s="187">
        <v>20</v>
      </c>
      <c r="D73" s="188">
        <v>10</v>
      </c>
      <c r="E73" s="181">
        <v>12.96</v>
      </c>
      <c r="F73" s="188">
        <v>10</v>
      </c>
      <c r="G73" s="189">
        <f t="shared" si="5"/>
        <v>6592</v>
      </c>
      <c r="H73" s="278"/>
    </row>
    <row r="74" spans="1:8" x14ac:dyDescent="0.2">
      <c r="A74" s="124" t="s">
        <v>71</v>
      </c>
      <c r="B74" s="125">
        <v>19</v>
      </c>
      <c r="C74" s="187">
        <v>20</v>
      </c>
      <c r="D74" s="188">
        <v>10</v>
      </c>
      <c r="E74" s="181">
        <v>12.96</v>
      </c>
      <c r="F74" s="188">
        <v>10</v>
      </c>
      <c r="G74" s="189">
        <f t="shared" si="5"/>
        <v>12524.800000000001</v>
      </c>
      <c r="H74" s="278"/>
    </row>
    <row r="75" spans="1:8" x14ac:dyDescent="0.2">
      <c r="A75" s="124" t="s">
        <v>72</v>
      </c>
      <c r="B75" s="125">
        <v>3</v>
      </c>
      <c r="C75" s="187">
        <v>20</v>
      </c>
      <c r="D75" s="188">
        <v>10</v>
      </c>
      <c r="E75" s="181">
        <v>12.96</v>
      </c>
      <c r="F75" s="188">
        <v>10</v>
      </c>
      <c r="G75" s="189">
        <f t="shared" si="5"/>
        <v>1977.6000000000001</v>
      </c>
      <c r="H75" s="278"/>
    </row>
    <row r="76" spans="1:8" x14ac:dyDescent="0.2">
      <c r="A76" s="124" t="s">
        <v>73</v>
      </c>
      <c r="B76" s="125">
        <v>3</v>
      </c>
      <c r="C76" s="187">
        <v>20</v>
      </c>
      <c r="D76" s="188">
        <v>10</v>
      </c>
      <c r="E76" s="181">
        <v>12.96</v>
      </c>
      <c r="F76" s="188">
        <v>10</v>
      </c>
      <c r="G76" s="189">
        <f t="shared" si="5"/>
        <v>1977.6000000000001</v>
      </c>
      <c r="H76" s="278"/>
    </row>
    <row r="77" spans="1:8" x14ac:dyDescent="0.2">
      <c r="A77" s="124" t="s">
        <v>74</v>
      </c>
      <c r="B77" s="125">
        <v>3</v>
      </c>
      <c r="C77" s="187">
        <v>20</v>
      </c>
      <c r="D77" s="188">
        <v>10</v>
      </c>
      <c r="E77" s="181">
        <v>12.96</v>
      </c>
      <c r="F77" s="188">
        <v>10</v>
      </c>
      <c r="G77" s="189">
        <f t="shared" si="5"/>
        <v>1977.6000000000001</v>
      </c>
      <c r="H77" s="278"/>
    </row>
    <row r="78" spans="1:8" x14ac:dyDescent="0.2">
      <c r="G78" s="190">
        <f>SUM(G68:G77)</f>
        <v>32960</v>
      </c>
    </row>
    <row r="80" spans="1:8" x14ac:dyDescent="0.2">
      <c r="G80" s="191">
        <f>G66+G78</f>
        <v>89473.760000000009</v>
      </c>
    </row>
  </sheetData>
  <mergeCells count="7">
    <mergeCell ref="H68:H77"/>
    <mergeCell ref="A5:I5"/>
    <mergeCell ref="D27:H27"/>
    <mergeCell ref="D50:E50"/>
    <mergeCell ref="H50:I50"/>
    <mergeCell ref="A52:G52"/>
    <mergeCell ref="H54:H65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7358C-43C2-42C6-8617-2B3BFC341554}">
  <dimension ref="A1:H149"/>
  <sheetViews>
    <sheetView showGridLines="0" tabSelected="1" view="pageBreakPreview" topLeftCell="A125" zoomScaleNormal="100" zoomScaleSheetLayoutView="100" workbookViewId="0">
      <selection activeCell="J111" sqref="J111"/>
    </sheetView>
  </sheetViews>
  <sheetFormatPr defaultRowHeight="15" x14ac:dyDescent="0.25"/>
  <cols>
    <col min="1" max="1" width="50.42578125" customWidth="1"/>
    <col min="2" max="2" width="13.140625" customWidth="1"/>
    <col min="3" max="3" width="24.28515625" customWidth="1"/>
    <col min="4" max="4" width="14.140625" customWidth="1"/>
    <col min="5" max="5" width="18.140625" customWidth="1"/>
    <col min="6" max="6" width="12" customWidth="1"/>
    <col min="9" max="9" width="14.42578125" bestFit="1" customWidth="1"/>
  </cols>
  <sheetData>
    <row r="1" spans="1:5" ht="7.5" customHeight="1" thickBot="1" x14ac:dyDescent="0.3"/>
    <row r="2" spans="1:5" ht="24.75" customHeight="1" thickBot="1" x14ac:dyDescent="0.3">
      <c r="A2" s="263" t="s">
        <v>64</v>
      </c>
      <c r="B2" s="264"/>
      <c r="C2" s="264"/>
      <c r="D2" s="264"/>
      <c r="E2" s="265"/>
    </row>
    <row r="4" spans="1:5" x14ac:dyDescent="0.25">
      <c r="A4" s="56" t="s">
        <v>0</v>
      </c>
      <c r="B4" s="54" t="s">
        <v>1</v>
      </c>
      <c r="C4" s="54"/>
      <c r="D4" s="54"/>
      <c r="E4" s="54"/>
    </row>
    <row r="5" spans="1:5" x14ac:dyDescent="0.25">
      <c r="A5" s="2"/>
      <c r="B5" s="2"/>
      <c r="C5" s="2"/>
      <c r="D5" s="2"/>
      <c r="E5" s="2"/>
    </row>
    <row r="6" spans="1:5" x14ac:dyDescent="0.25">
      <c r="A6" s="6" t="s">
        <v>2</v>
      </c>
      <c r="B6" s="2"/>
      <c r="C6" s="2"/>
      <c r="D6" s="2"/>
      <c r="E6" s="2"/>
    </row>
    <row r="7" spans="1:5" ht="38.25" x14ac:dyDescent="0.25">
      <c r="A7" s="33" t="s">
        <v>3</v>
      </c>
      <c r="B7" s="33" t="s">
        <v>4</v>
      </c>
      <c r="C7" s="33" t="s">
        <v>5</v>
      </c>
      <c r="D7" s="33" t="s">
        <v>6</v>
      </c>
      <c r="E7" s="33" t="s">
        <v>7</v>
      </c>
    </row>
    <row r="8" spans="1:5" x14ac:dyDescent="0.25">
      <c r="A8" s="99" t="s">
        <v>66</v>
      </c>
      <c r="B8" s="35">
        <v>60</v>
      </c>
      <c r="C8" s="36">
        <f t="shared" ref="C8:C19" si="0">E8/B8/D8</f>
        <v>401.54399999999998</v>
      </c>
      <c r="D8" s="37">
        <v>1</v>
      </c>
      <c r="E8" s="65">
        <v>24092.639999999999</v>
      </c>
    </row>
    <row r="9" spans="1:5" x14ac:dyDescent="0.25">
      <c r="A9" s="99" t="s">
        <v>99</v>
      </c>
      <c r="B9" s="35">
        <v>60</v>
      </c>
      <c r="C9" s="36">
        <f t="shared" si="0"/>
        <v>247.98564266666668</v>
      </c>
      <c r="D9" s="37">
        <v>1</v>
      </c>
      <c r="E9" s="65">
        <v>14879.138560000001</v>
      </c>
    </row>
    <row r="10" spans="1:5" x14ac:dyDescent="0.25">
      <c r="A10" s="99" t="s">
        <v>67</v>
      </c>
      <c r="B10" s="35">
        <v>17</v>
      </c>
      <c r="C10" s="36">
        <f t="shared" si="0"/>
        <v>451.52260394438491</v>
      </c>
      <c r="D10" s="37">
        <v>3</v>
      </c>
      <c r="E10" s="65">
        <v>23027.652801163633</v>
      </c>
    </row>
    <row r="11" spans="1:5" x14ac:dyDescent="0.25">
      <c r="A11" s="99" t="s">
        <v>68</v>
      </c>
      <c r="B11" s="35">
        <v>17</v>
      </c>
      <c r="C11" s="36">
        <f t="shared" si="0"/>
        <v>262.44981510160432</v>
      </c>
      <c r="D11" s="37">
        <v>2</v>
      </c>
      <c r="E11" s="65">
        <v>8923.2937134545464</v>
      </c>
    </row>
    <row r="12" spans="1:5" x14ac:dyDescent="0.25">
      <c r="A12" s="99" t="s">
        <v>76</v>
      </c>
      <c r="B12" s="35">
        <v>17</v>
      </c>
      <c r="C12" s="36">
        <f t="shared" si="0"/>
        <v>222.05884235294118</v>
      </c>
      <c r="D12" s="37">
        <v>2</v>
      </c>
      <c r="E12" s="65">
        <v>7550.0006400000002</v>
      </c>
    </row>
    <row r="13" spans="1:5" x14ac:dyDescent="0.25">
      <c r="A13" s="99" t="s">
        <v>69</v>
      </c>
      <c r="B13" s="35">
        <v>17</v>
      </c>
      <c r="C13" s="36">
        <f t="shared" si="0"/>
        <v>827.84978823529411</v>
      </c>
      <c r="D13" s="37">
        <v>2</v>
      </c>
      <c r="E13" s="65">
        <v>28146.892800000001</v>
      </c>
    </row>
    <row r="14" spans="1:5" x14ac:dyDescent="0.25">
      <c r="A14" s="99" t="s">
        <v>75</v>
      </c>
      <c r="B14" s="35">
        <v>17</v>
      </c>
      <c r="C14" s="36">
        <f t="shared" si="0"/>
        <v>408.59519999999998</v>
      </c>
      <c r="D14" s="37">
        <v>8</v>
      </c>
      <c r="E14" s="65">
        <v>55568.947199999995</v>
      </c>
    </row>
    <row r="15" spans="1:5" x14ac:dyDescent="0.25">
      <c r="A15" s="34" t="s">
        <v>70</v>
      </c>
      <c r="B15" s="35">
        <v>17</v>
      </c>
      <c r="C15" s="36">
        <f t="shared" si="0"/>
        <v>233.80349138823539</v>
      </c>
      <c r="D15" s="37">
        <v>40</v>
      </c>
      <c r="E15" s="65">
        <v>158986.37414400006</v>
      </c>
    </row>
    <row r="16" spans="1:5" x14ac:dyDescent="0.25">
      <c r="A16" s="34" t="s">
        <v>71</v>
      </c>
      <c r="B16" s="35">
        <v>17</v>
      </c>
      <c r="C16" s="36">
        <f t="shared" si="0"/>
        <v>121.31749246319883</v>
      </c>
      <c r="D16" s="37">
        <v>55</v>
      </c>
      <c r="E16" s="65">
        <v>113431.85545309092</v>
      </c>
    </row>
    <row r="17" spans="1:5" x14ac:dyDescent="0.25">
      <c r="A17" s="34" t="s">
        <v>72</v>
      </c>
      <c r="B17" s="35">
        <v>17</v>
      </c>
      <c r="C17" s="36">
        <f t="shared" si="0"/>
        <v>212.20373339037437</v>
      </c>
      <c r="D17" s="37">
        <v>6</v>
      </c>
      <c r="E17" s="65">
        <v>21644.780805818184</v>
      </c>
    </row>
    <row r="18" spans="1:5" x14ac:dyDescent="0.25">
      <c r="A18" s="34" t="s">
        <v>73</v>
      </c>
      <c r="B18" s="35">
        <v>17</v>
      </c>
      <c r="C18" s="36">
        <f t="shared" si="0"/>
        <v>218.71860705882352</v>
      </c>
      <c r="D18" s="37">
        <v>8</v>
      </c>
      <c r="E18" s="65">
        <v>29745.73056</v>
      </c>
    </row>
    <row r="19" spans="1:5" x14ac:dyDescent="0.25">
      <c r="A19" s="99" t="s">
        <v>74</v>
      </c>
      <c r="B19" s="35">
        <v>17</v>
      </c>
      <c r="C19" s="36">
        <f t="shared" si="0"/>
        <v>215.98597647058824</v>
      </c>
      <c r="D19" s="37">
        <v>7</v>
      </c>
      <c r="E19" s="65">
        <v>25702.331200000001</v>
      </c>
    </row>
    <row r="20" spans="1:5" x14ac:dyDescent="0.25">
      <c r="A20" s="34"/>
      <c r="B20" s="35"/>
      <c r="C20" s="36"/>
      <c r="D20" s="107"/>
      <c r="E20" s="108">
        <f t="shared" ref="E20" si="1">C20*B20*D20</f>
        <v>0</v>
      </c>
    </row>
    <row r="21" spans="1:5" x14ac:dyDescent="0.25">
      <c r="A21" s="24" t="s">
        <v>8</v>
      </c>
      <c r="B21" s="22"/>
      <c r="C21" s="23"/>
      <c r="D21" s="25"/>
      <c r="E21" s="66">
        <f>SUM(E8:E20)</f>
        <v>511699.63787752733</v>
      </c>
    </row>
    <row r="22" spans="1:5" x14ac:dyDescent="0.25">
      <c r="A22" s="62" t="s">
        <v>9</v>
      </c>
      <c r="B22" s="63"/>
      <c r="C22" s="63"/>
      <c r="D22" s="64"/>
      <c r="E22" s="67">
        <f>E21*30%</f>
        <v>153509.89136325818</v>
      </c>
    </row>
    <row r="23" spans="1:5" x14ac:dyDescent="0.25">
      <c r="A23" s="19"/>
      <c r="B23" s="3"/>
      <c r="C23" s="21"/>
      <c r="D23" s="20"/>
      <c r="E23" s="20"/>
    </row>
    <row r="24" spans="1:5" x14ac:dyDescent="0.25">
      <c r="A24" s="2"/>
      <c r="B24" s="2"/>
      <c r="C24" s="89"/>
      <c r="D24" s="89" t="s">
        <v>10</v>
      </c>
      <c r="E24" s="90">
        <f>E21+E22</f>
        <v>665209.52924078552</v>
      </c>
    </row>
    <row r="25" spans="1:5" x14ac:dyDescent="0.25">
      <c r="A25" s="2"/>
      <c r="B25" s="2"/>
      <c r="C25" s="2"/>
      <c r="D25" s="2"/>
      <c r="E25" s="2"/>
    </row>
    <row r="26" spans="1:5" x14ac:dyDescent="0.25">
      <c r="A26" s="6" t="s">
        <v>11</v>
      </c>
      <c r="B26" s="2"/>
      <c r="C26" s="2"/>
      <c r="D26" s="2"/>
    </row>
    <row r="27" spans="1:5" x14ac:dyDescent="0.25">
      <c r="A27" s="44" t="s">
        <v>12</v>
      </c>
      <c r="B27" s="44" t="s">
        <v>13</v>
      </c>
      <c r="C27" s="44" t="s">
        <v>14</v>
      </c>
      <c r="D27" s="7"/>
    </row>
    <row r="28" spans="1:5" x14ac:dyDescent="0.25">
      <c r="A28" s="81"/>
      <c r="B28" s="81"/>
      <c r="C28" s="81"/>
      <c r="D28" s="1"/>
    </row>
    <row r="29" spans="1:5" x14ac:dyDescent="0.25">
      <c r="A29" s="82" t="s">
        <v>15</v>
      </c>
      <c r="B29" s="245">
        <v>0.85</v>
      </c>
      <c r="C29" s="84">
        <f>E24*B29</f>
        <v>565428.09985466767</v>
      </c>
      <c r="D29" s="8"/>
      <c r="E29" s="2"/>
    </row>
    <row r="30" spans="1:5" x14ac:dyDescent="0.25">
      <c r="A30" s="2"/>
      <c r="B30" s="7"/>
      <c r="C30" s="2"/>
      <c r="D30" s="2"/>
      <c r="E30" s="2"/>
    </row>
    <row r="31" spans="1:5" x14ac:dyDescent="0.25">
      <c r="A31" s="9"/>
      <c r="B31" s="2"/>
      <c r="C31" s="91"/>
      <c r="D31" s="92" t="s">
        <v>16</v>
      </c>
      <c r="E31" s="93">
        <f>E24+C29</f>
        <v>1230637.6290954533</v>
      </c>
    </row>
    <row r="32" spans="1:5" x14ac:dyDescent="0.25">
      <c r="A32" s="30" t="s">
        <v>17</v>
      </c>
      <c r="B32" s="2"/>
      <c r="C32" s="2"/>
      <c r="D32" s="2"/>
      <c r="E32" s="2"/>
    </row>
    <row r="33" spans="1:5" ht="25.5" x14ac:dyDescent="0.25">
      <c r="A33" s="33" t="s">
        <v>18</v>
      </c>
      <c r="B33" s="49" t="s">
        <v>19</v>
      </c>
      <c r="C33" s="49" t="s">
        <v>20</v>
      </c>
      <c r="D33" s="83" t="s">
        <v>21</v>
      </c>
      <c r="E33" s="2"/>
    </row>
    <row r="34" spans="1:5" x14ac:dyDescent="0.25">
      <c r="A34" s="41" t="s">
        <v>77</v>
      </c>
      <c r="B34" s="42">
        <v>3</v>
      </c>
      <c r="C34" s="43">
        <v>1400</v>
      </c>
      <c r="D34" s="69">
        <f>C34*B34</f>
        <v>4200</v>
      </c>
      <c r="E34" s="2"/>
    </row>
    <row r="35" spans="1:5" x14ac:dyDescent="0.25">
      <c r="A35" s="102" t="s">
        <v>78</v>
      </c>
      <c r="B35" s="42">
        <v>6</v>
      </c>
      <c r="C35" s="43">
        <v>1100</v>
      </c>
      <c r="D35" s="69">
        <f t="shared" ref="D35:D50" si="2">C35*B35</f>
        <v>6600</v>
      </c>
      <c r="E35" s="2"/>
    </row>
    <row r="36" spans="1:5" x14ac:dyDescent="0.25">
      <c r="A36" s="102" t="s">
        <v>79</v>
      </c>
      <c r="B36" s="42">
        <v>48</v>
      </c>
      <c r="C36" s="43">
        <v>600</v>
      </c>
      <c r="D36" s="69">
        <f t="shared" si="2"/>
        <v>28800</v>
      </c>
      <c r="E36" s="2"/>
    </row>
    <row r="37" spans="1:5" x14ac:dyDescent="0.25">
      <c r="A37" s="41" t="s">
        <v>80</v>
      </c>
      <c r="B37" s="42">
        <v>2</v>
      </c>
      <c r="C37" s="43">
        <f>110*1.2</f>
        <v>132</v>
      </c>
      <c r="D37" s="69">
        <f t="shared" si="2"/>
        <v>264</v>
      </c>
      <c r="E37" s="2"/>
    </row>
    <row r="38" spans="1:5" x14ac:dyDescent="0.25">
      <c r="A38" s="41" t="s">
        <v>81</v>
      </c>
      <c r="B38" s="42">
        <v>2</v>
      </c>
      <c r="C38" s="43">
        <f>110*1.2</f>
        <v>132</v>
      </c>
      <c r="D38" s="69">
        <f t="shared" si="2"/>
        <v>264</v>
      </c>
      <c r="E38" s="2"/>
    </row>
    <row r="39" spans="1:5" x14ac:dyDescent="0.25">
      <c r="A39" s="41" t="s">
        <v>82</v>
      </c>
      <c r="B39" s="42">
        <v>18</v>
      </c>
      <c r="C39" s="43">
        <f>250*1.2</f>
        <v>300</v>
      </c>
      <c r="D39" s="69">
        <f t="shared" si="2"/>
        <v>5400</v>
      </c>
      <c r="E39" s="2"/>
    </row>
    <row r="40" spans="1:5" x14ac:dyDescent="0.25">
      <c r="A40" s="102" t="s">
        <v>85</v>
      </c>
      <c r="B40" s="42">
        <v>24</v>
      </c>
      <c r="C40" s="43">
        <v>800</v>
      </c>
      <c r="D40" s="69">
        <f t="shared" si="2"/>
        <v>19200</v>
      </c>
      <c r="E40" s="2"/>
    </row>
    <row r="41" spans="1:5" x14ac:dyDescent="0.25">
      <c r="A41" s="41" t="s">
        <v>86</v>
      </c>
      <c r="B41" s="42">
        <v>78</v>
      </c>
      <c r="C41" s="43">
        <f>128.4*1.2</f>
        <v>154.08000000000001</v>
      </c>
      <c r="D41" s="69">
        <f t="shared" si="2"/>
        <v>12018.240000000002</v>
      </c>
      <c r="E41" s="2"/>
    </row>
    <row r="42" spans="1:5" x14ac:dyDescent="0.25">
      <c r="A42" s="102" t="s">
        <v>143</v>
      </c>
      <c r="B42" s="106" t="s">
        <v>136</v>
      </c>
      <c r="C42" s="43">
        <v>22000</v>
      </c>
      <c r="D42" s="193">
        <f>C42</f>
        <v>22000</v>
      </c>
      <c r="E42" s="2"/>
    </row>
    <row r="43" spans="1:5" x14ac:dyDescent="0.25">
      <c r="A43" s="102" t="s">
        <v>87</v>
      </c>
      <c r="B43" s="106" t="s">
        <v>136</v>
      </c>
      <c r="C43" s="43">
        <v>36000</v>
      </c>
      <c r="D43" s="193">
        <f>C43</f>
        <v>36000</v>
      </c>
      <c r="E43" s="2"/>
    </row>
    <row r="44" spans="1:5" x14ac:dyDescent="0.25">
      <c r="A44" s="102" t="s">
        <v>185</v>
      </c>
      <c r="B44" s="106" t="s">
        <v>136</v>
      </c>
      <c r="C44" s="43">
        <f>6900+4000</f>
        <v>10900</v>
      </c>
      <c r="D44" s="193">
        <f>C44</f>
        <v>10900</v>
      </c>
      <c r="E44" s="2"/>
    </row>
    <row r="45" spans="1:5" x14ac:dyDescent="0.25">
      <c r="A45" s="102" t="s">
        <v>179</v>
      </c>
      <c r="B45" s="106" t="s">
        <v>136</v>
      </c>
      <c r="C45" s="192">
        <v>60000</v>
      </c>
      <c r="D45" s="193">
        <f>C45</f>
        <v>60000</v>
      </c>
      <c r="E45" s="2"/>
    </row>
    <row r="46" spans="1:5" x14ac:dyDescent="0.25">
      <c r="A46" s="102" t="s">
        <v>88</v>
      </c>
      <c r="B46" s="106">
        <v>3</v>
      </c>
      <c r="C46" s="192">
        <v>700</v>
      </c>
      <c r="D46" s="193">
        <f t="shared" si="2"/>
        <v>2100</v>
      </c>
      <c r="E46" s="2"/>
    </row>
    <row r="47" spans="1:5" x14ac:dyDescent="0.25">
      <c r="A47" s="102" t="s">
        <v>137</v>
      </c>
      <c r="B47" s="106">
        <v>2</v>
      </c>
      <c r="C47" s="192">
        <v>1500</v>
      </c>
      <c r="D47" s="193">
        <f t="shared" si="2"/>
        <v>3000</v>
      </c>
      <c r="E47" s="2"/>
    </row>
    <row r="48" spans="1:5" x14ac:dyDescent="0.25">
      <c r="A48" s="102" t="s">
        <v>138</v>
      </c>
      <c r="B48" s="106">
        <v>6</v>
      </c>
      <c r="C48" s="192">
        <v>1500</v>
      </c>
      <c r="D48" s="193">
        <f t="shared" si="2"/>
        <v>9000</v>
      </c>
      <c r="E48" s="2"/>
    </row>
    <row r="49" spans="1:5" x14ac:dyDescent="0.25">
      <c r="A49" s="102" t="s">
        <v>139</v>
      </c>
      <c r="B49" s="106">
        <v>2</v>
      </c>
      <c r="C49" s="192">
        <v>1500</v>
      </c>
      <c r="D49" s="193">
        <f t="shared" si="2"/>
        <v>3000</v>
      </c>
      <c r="E49" s="2"/>
    </row>
    <row r="50" spans="1:5" x14ac:dyDescent="0.25">
      <c r="A50" s="240" t="s">
        <v>184</v>
      </c>
      <c r="B50" s="200">
        <v>2</v>
      </c>
      <c r="C50" s="43">
        <v>240</v>
      </c>
      <c r="D50" s="69">
        <f t="shared" si="2"/>
        <v>480</v>
      </c>
    </row>
    <row r="51" spans="1:5" x14ac:dyDescent="0.25">
      <c r="A51" s="5"/>
      <c r="B51" s="2"/>
      <c r="C51" s="55" t="s">
        <v>22</v>
      </c>
      <c r="D51" s="68">
        <f>SUM(D34:D50)</f>
        <v>223226.23999999999</v>
      </c>
    </row>
    <row r="52" spans="1:5" x14ac:dyDescent="0.25">
      <c r="A52" s="30" t="s">
        <v>23</v>
      </c>
      <c r="B52" s="2"/>
      <c r="C52" s="2"/>
      <c r="D52" s="2"/>
    </row>
    <row r="53" spans="1:5" ht="25.5" x14ac:dyDescent="0.25">
      <c r="A53" s="44" t="s">
        <v>18</v>
      </c>
      <c r="B53" s="45" t="s">
        <v>19</v>
      </c>
      <c r="C53" s="38" t="s">
        <v>20</v>
      </c>
      <c r="D53" s="83" t="s">
        <v>21</v>
      </c>
    </row>
    <row r="54" spans="1:5" x14ac:dyDescent="0.25">
      <c r="A54" s="31" t="s">
        <v>24</v>
      </c>
      <c r="B54" s="104" t="s">
        <v>83</v>
      </c>
      <c r="C54" s="43">
        <v>15036</v>
      </c>
      <c r="D54" s="70">
        <f>C54</f>
        <v>15036</v>
      </c>
    </row>
    <row r="55" spans="1:5" x14ac:dyDescent="0.25">
      <c r="A55" s="61" t="s">
        <v>25</v>
      </c>
      <c r="B55" s="106" t="s">
        <v>83</v>
      </c>
      <c r="C55" s="43">
        <v>23300</v>
      </c>
      <c r="D55" s="71">
        <f>C55</f>
        <v>23300</v>
      </c>
    </row>
    <row r="56" spans="1:5" x14ac:dyDescent="0.25">
      <c r="A56" s="103" t="s">
        <v>84</v>
      </c>
      <c r="B56" s="105" t="s">
        <v>83</v>
      </c>
      <c r="C56" s="43">
        <v>16560</v>
      </c>
      <c r="D56" s="69">
        <f>C56</f>
        <v>16560</v>
      </c>
    </row>
    <row r="57" spans="1:5" x14ac:dyDescent="0.25">
      <c r="A57" s="241" t="s">
        <v>180</v>
      </c>
      <c r="B57" s="242">
        <v>2</v>
      </c>
      <c r="C57" s="192">
        <v>60000</v>
      </c>
      <c r="D57" s="193">
        <f>C57*B57</f>
        <v>120000</v>
      </c>
    </row>
    <row r="58" spans="1:5" x14ac:dyDescent="0.25">
      <c r="A58" s="5"/>
      <c r="B58" s="2"/>
      <c r="C58" s="55" t="s">
        <v>26</v>
      </c>
      <c r="D58" s="68">
        <f>SUM(D54:D57)</f>
        <v>174896</v>
      </c>
    </row>
    <row r="59" spans="1:5" x14ac:dyDescent="0.25">
      <c r="A59" s="6" t="s">
        <v>27</v>
      </c>
      <c r="B59" s="2"/>
      <c r="C59" s="2"/>
      <c r="D59" s="2"/>
    </row>
    <row r="60" spans="1:5" ht="25.5" x14ac:dyDescent="0.25">
      <c r="A60" s="33" t="s">
        <v>18</v>
      </c>
      <c r="B60" s="33" t="s">
        <v>28</v>
      </c>
      <c r="C60" s="33" t="s">
        <v>29</v>
      </c>
      <c r="D60" s="83" t="s">
        <v>21</v>
      </c>
    </row>
    <row r="61" spans="1:5" x14ac:dyDescent="0.25">
      <c r="A61" s="10" t="s">
        <v>30</v>
      </c>
      <c r="B61" s="46">
        <v>135</v>
      </c>
      <c r="C61" s="43">
        <v>600</v>
      </c>
      <c r="D61" s="73">
        <f>C61*B61+(750*2)</f>
        <v>82500</v>
      </c>
      <c r="E61" s="1"/>
    </row>
    <row r="62" spans="1:5" x14ac:dyDescent="0.25">
      <c r="A62" s="109" t="s">
        <v>183</v>
      </c>
      <c r="B62" s="194" t="s">
        <v>83</v>
      </c>
      <c r="C62" s="43">
        <f>1500*6</f>
        <v>9000</v>
      </c>
      <c r="D62" s="73">
        <f>C62</f>
        <v>9000</v>
      </c>
      <c r="E62" s="1"/>
    </row>
    <row r="63" spans="1:5" x14ac:dyDescent="0.25">
      <c r="A63" s="10" t="s">
        <v>89</v>
      </c>
      <c r="B63" s="46">
        <v>135</v>
      </c>
      <c r="C63" s="43">
        <v>500</v>
      </c>
      <c r="D63" s="73">
        <f t="shared" ref="D63:D67" si="3">C63*B63</f>
        <v>67500</v>
      </c>
      <c r="E63" s="1"/>
    </row>
    <row r="64" spans="1:5" x14ac:dyDescent="0.25">
      <c r="A64" s="10" t="s">
        <v>90</v>
      </c>
      <c r="B64" s="46">
        <v>135</v>
      </c>
      <c r="C64" s="43">
        <f>40.1*1.2</f>
        <v>48.12</v>
      </c>
      <c r="D64" s="73">
        <f t="shared" si="3"/>
        <v>6496.2</v>
      </c>
      <c r="E64" s="1"/>
    </row>
    <row r="65" spans="1:8" x14ac:dyDescent="0.25">
      <c r="A65" s="109" t="s">
        <v>97</v>
      </c>
      <c r="B65" s="46" t="s">
        <v>83</v>
      </c>
      <c r="C65" s="43">
        <f>(135*2*100)</f>
        <v>27000</v>
      </c>
      <c r="D65" s="73">
        <f t="shared" ref="D65" si="4">C65</f>
        <v>27000</v>
      </c>
      <c r="E65" s="1"/>
    </row>
    <row r="66" spans="1:8" x14ac:dyDescent="0.25">
      <c r="A66" s="109" t="s">
        <v>98</v>
      </c>
      <c r="B66" s="194" t="s">
        <v>136</v>
      </c>
      <c r="C66" s="192">
        <f>(135*520)</f>
        <v>70200</v>
      </c>
      <c r="D66" s="195">
        <f>C66</f>
        <v>70200</v>
      </c>
      <c r="E66" s="1"/>
    </row>
    <row r="67" spans="1:8" x14ac:dyDescent="0.25">
      <c r="A67" s="10" t="s">
        <v>91</v>
      </c>
      <c r="B67" s="46">
        <v>135</v>
      </c>
      <c r="C67" s="43">
        <f>452*1.04</f>
        <v>470.08000000000004</v>
      </c>
      <c r="D67" s="73">
        <f t="shared" si="3"/>
        <v>63460.800000000003</v>
      </c>
      <c r="E67" s="1"/>
    </row>
    <row r="68" spans="1:8" x14ac:dyDescent="0.25">
      <c r="A68" s="10" t="s">
        <v>92</v>
      </c>
      <c r="B68" s="46" t="s">
        <v>83</v>
      </c>
      <c r="C68" s="43">
        <f>135*2*20*4</f>
        <v>21600</v>
      </c>
      <c r="D68" s="73">
        <f t="shared" ref="D68" si="5">C68</f>
        <v>21600</v>
      </c>
      <c r="E68" s="1"/>
    </row>
    <row r="69" spans="1:8" x14ac:dyDescent="0.25">
      <c r="A69" s="179" t="s">
        <v>142</v>
      </c>
      <c r="B69" s="194" t="s">
        <v>83</v>
      </c>
      <c r="C69" s="192">
        <v>89473.760000000009</v>
      </c>
      <c r="D69" s="195">
        <f>C69</f>
        <v>89473.760000000009</v>
      </c>
      <c r="E69" s="1"/>
    </row>
    <row r="70" spans="1:8" x14ac:dyDescent="0.25">
      <c r="A70" s="234" t="s">
        <v>182</v>
      </c>
      <c r="B70" s="194" t="s">
        <v>83</v>
      </c>
      <c r="C70" s="192">
        <f>52*30*20</f>
        <v>31200</v>
      </c>
      <c r="D70" s="195">
        <f t="shared" ref="D70:D71" si="6">C70</f>
        <v>31200</v>
      </c>
      <c r="E70" s="1"/>
    </row>
    <row r="71" spans="1:8" x14ac:dyDescent="0.25">
      <c r="A71" s="201" t="s">
        <v>191</v>
      </c>
      <c r="B71" s="194" t="s">
        <v>83</v>
      </c>
      <c r="C71" s="192">
        <f>2*250*30</f>
        <v>15000</v>
      </c>
      <c r="D71" s="195">
        <f t="shared" si="6"/>
        <v>15000</v>
      </c>
      <c r="E71" s="1"/>
    </row>
    <row r="72" spans="1:8" x14ac:dyDescent="0.25">
      <c r="A72" s="1"/>
      <c r="B72" s="58" t="s">
        <v>31</v>
      </c>
      <c r="C72" s="59"/>
      <c r="D72" s="68">
        <f>SUM(D61:D71)</f>
        <v>483430.76</v>
      </c>
      <c r="E72" s="1"/>
    </row>
    <row r="73" spans="1:8" x14ac:dyDescent="0.25">
      <c r="A73" s="1"/>
      <c r="B73" s="1"/>
      <c r="C73" s="1"/>
      <c r="D73" s="1"/>
      <c r="E73" s="1"/>
    </row>
    <row r="74" spans="1:8" x14ac:dyDescent="0.25">
      <c r="A74" s="1"/>
      <c r="B74" s="95" t="s">
        <v>32</v>
      </c>
      <c r="C74" s="96"/>
      <c r="D74" s="97"/>
      <c r="E74" s="98">
        <f>E31+D51+D58+D72</f>
        <v>2112190.6290954533</v>
      </c>
    </row>
    <row r="75" spans="1:8" x14ac:dyDescent="0.25">
      <c r="A75" s="56" t="s">
        <v>33</v>
      </c>
      <c r="B75" s="57"/>
      <c r="C75" s="57"/>
      <c r="D75" s="57"/>
      <c r="E75" s="57"/>
    </row>
    <row r="76" spans="1:8" x14ac:dyDescent="0.25">
      <c r="A76" s="2"/>
      <c r="B76" s="2"/>
      <c r="C76" s="2"/>
      <c r="D76" s="2"/>
      <c r="E76" s="2"/>
    </row>
    <row r="77" spans="1:8" ht="38.25" x14ac:dyDescent="0.25">
      <c r="A77" s="49" t="s">
        <v>18</v>
      </c>
      <c r="B77" s="49" t="s">
        <v>192</v>
      </c>
      <c r="C77" s="49" t="s">
        <v>35</v>
      </c>
      <c r="D77" s="83" t="s">
        <v>21</v>
      </c>
      <c r="E77" s="2"/>
    </row>
    <row r="78" spans="1:8" x14ac:dyDescent="0.25">
      <c r="A78" s="10" t="s">
        <v>93</v>
      </c>
      <c r="B78" s="47">
        <v>0.08</v>
      </c>
      <c r="C78" s="72">
        <f>B78*E74</f>
        <v>168975.25032763625</v>
      </c>
      <c r="D78" s="72">
        <f>C78</f>
        <v>168975.25032763625</v>
      </c>
      <c r="E78" s="2"/>
      <c r="H78" s="253"/>
    </row>
    <row r="79" spans="1:8" x14ac:dyDescent="0.25">
      <c r="A79" s="10" t="s">
        <v>94</v>
      </c>
      <c r="B79" s="39">
        <v>0.01</v>
      </c>
      <c r="C79" s="74">
        <f>B79*E74</f>
        <v>21121.906290954532</v>
      </c>
      <c r="D79" s="74">
        <f>C79</f>
        <v>21121.906290954532</v>
      </c>
      <c r="E79" s="2"/>
    </row>
    <row r="80" spans="1:8" x14ac:dyDescent="0.25">
      <c r="A80" s="86" t="s">
        <v>95</v>
      </c>
      <c r="B80" s="48">
        <v>0.08</v>
      </c>
      <c r="C80" s="75">
        <f>B80*E74</f>
        <v>168975.25032763625</v>
      </c>
      <c r="D80" s="74">
        <f>C80</f>
        <v>168975.25032763625</v>
      </c>
      <c r="E80" s="2"/>
    </row>
    <row r="81" spans="1:5" x14ac:dyDescent="0.25">
      <c r="A81" s="87"/>
      <c r="B81" s="40"/>
      <c r="C81" s="76">
        <v>0</v>
      </c>
      <c r="D81" s="76">
        <v>0</v>
      </c>
      <c r="E81" s="2"/>
    </row>
    <row r="82" spans="1:5" x14ac:dyDescent="0.25">
      <c r="A82" s="14"/>
      <c r="B82" s="14"/>
      <c r="C82" s="60" t="s">
        <v>36</v>
      </c>
      <c r="D82" s="68">
        <f>SUM(D78:D81)</f>
        <v>359072.40694622707</v>
      </c>
      <c r="E82" s="2"/>
    </row>
    <row r="83" spans="1:5" x14ac:dyDescent="0.25">
      <c r="A83" s="2"/>
      <c r="B83" s="2"/>
      <c r="C83" s="2"/>
      <c r="D83" s="2"/>
      <c r="E83" s="2"/>
    </row>
    <row r="84" spans="1:5" x14ac:dyDescent="0.25">
      <c r="A84" s="56" t="s">
        <v>37</v>
      </c>
      <c r="B84" s="57"/>
      <c r="C84" s="57"/>
      <c r="D84" s="57"/>
      <c r="E84" s="57"/>
    </row>
    <row r="85" spans="1:5" x14ac:dyDescent="0.25">
      <c r="A85" s="2"/>
      <c r="B85" s="2"/>
      <c r="C85" s="2"/>
      <c r="D85" s="2"/>
      <c r="E85" s="2"/>
    </row>
    <row r="86" spans="1:5" ht="25.5" x14ac:dyDescent="0.25">
      <c r="A86" s="49" t="s">
        <v>18</v>
      </c>
      <c r="B86" s="49" t="s">
        <v>38</v>
      </c>
      <c r="C86" s="49" t="s">
        <v>35</v>
      </c>
      <c r="D86" s="83" t="s">
        <v>21</v>
      </c>
      <c r="E86" s="2"/>
    </row>
    <row r="87" spans="1:5" x14ac:dyDescent="0.25">
      <c r="A87" s="199" t="s">
        <v>96</v>
      </c>
      <c r="B87" s="47">
        <v>7.6799999999999993E-2</v>
      </c>
      <c r="C87" s="72">
        <f>B87*(E74+D82)</f>
        <v>189793.00116800104</v>
      </c>
      <c r="D87" s="72">
        <f>C87</f>
        <v>189793.00116800104</v>
      </c>
      <c r="E87" s="2"/>
    </row>
    <row r="88" spans="1:5" x14ac:dyDescent="0.25">
      <c r="A88" s="10"/>
      <c r="B88" s="39"/>
      <c r="C88" s="74">
        <v>0</v>
      </c>
      <c r="D88" s="74">
        <v>0</v>
      </c>
      <c r="E88" s="2"/>
    </row>
    <row r="89" spans="1:5" x14ac:dyDescent="0.25">
      <c r="A89" s="88"/>
      <c r="B89" s="51"/>
      <c r="C89" s="77">
        <v>0</v>
      </c>
      <c r="D89" s="77">
        <v>0</v>
      </c>
      <c r="E89" s="2"/>
    </row>
    <row r="90" spans="1:5" x14ac:dyDescent="0.25">
      <c r="A90" s="14"/>
      <c r="B90" s="58" t="s">
        <v>39</v>
      </c>
      <c r="C90" s="59"/>
      <c r="D90" s="68">
        <f>SUM(D87:D89)</f>
        <v>189793.00116800104</v>
      </c>
      <c r="E90" s="2"/>
    </row>
    <row r="91" spans="1:5" x14ac:dyDescent="0.25">
      <c r="A91" s="2"/>
      <c r="B91" s="2"/>
      <c r="C91" s="2"/>
      <c r="D91" s="2"/>
      <c r="E91" s="2"/>
    </row>
    <row r="92" spans="1:5" x14ac:dyDescent="0.25">
      <c r="A92" s="56" t="s">
        <v>40</v>
      </c>
      <c r="B92" s="57"/>
      <c r="C92" s="57"/>
      <c r="D92" s="57"/>
      <c r="E92" s="57"/>
    </row>
    <row r="93" spans="1:5" x14ac:dyDescent="0.25">
      <c r="A93" s="2"/>
      <c r="B93" s="2"/>
      <c r="C93" s="2"/>
      <c r="D93" s="2"/>
      <c r="E93" s="2"/>
    </row>
    <row r="94" spans="1:5" x14ac:dyDescent="0.25">
      <c r="A94" s="11" t="s">
        <v>41</v>
      </c>
      <c r="B94" s="12"/>
      <c r="C94" s="12"/>
      <c r="D94" s="13"/>
      <c r="E94" s="78">
        <f>E74+D82+D90</f>
        <v>2661056.0372096812</v>
      </c>
    </row>
    <row r="95" spans="1:5" x14ac:dyDescent="0.25">
      <c r="A95" s="2"/>
      <c r="B95" s="2"/>
      <c r="C95" s="2"/>
      <c r="D95" s="2"/>
      <c r="E95" s="2"/>
    </row>
    <row r="96" spans="1:5" x14ac:dyDescent="0.25">
      <c r="A96" s="56" t="s">
        <v>42</v>
      </c>
      <c r="B96" s="57"/>
      <c r="C96" s="57"/>
      <c r="D96" s="57"/>
      <c r="E96" s="85"/>
    </row>
    <row r="97" spans="1:6" x14ac:dyDescent="0.25">
      <c r="A97" s="2"/>
      <c r="B97" s="2"/>
      <c r="C97" s="2"/>
      <c r="D97" s="2"/>
      <c r="E97" s="2"/>
    </row>
    <row r="98" spans="1:6" x14ac:dyDescent="0.25">
      <c r="A98" s="49" t="s">
        <v>18</v>
      </c>
      <c r="B98" s="49" t="s">
        <v>38</v>
      </c>
      <c r="C98" s="2"/>
      <c r="D98" s="2"/>
      <c r="E98" s="2"/>
    </row>
    <row r="99" spans="1:6" x14ac:dyDescent="0.25">
      <c r="A99" s="17" t="s">
        <v>43</v>
      </c>
      <c r="B99" s="47">
        <v>0.05</v>
      </c>
      <c r="C99" s="2"/>
      <c r="D99" s="2"/>
      <c r="E99" s="2"/>
    </row>
    <row r="100" spans="1:6" x14ac:dyDescent="0.25">
      <c r="A100" s="18" t="s">
        <v>44</v>
      </c>
      <c r="B100" s="39">
        <v>6.4999999999999997E-3</v>
      </c>
      <c r="C100" s="2"/>
      <c r="D100" s="2"/>
      <c r="E100" s="196"/>
    </row>
    <row r="101" spans="1:6" x14ac:dyDescent="0.25">
      <c r="A101" s="4" t="s">
        <v>45</v>
      </c>
      <c r="B101" s="51">
        <v>0.03</v>
      </c>
      <c r="C101" s="2"/>
      <c r="D101" s="2"/>
      <c r="E101" s="2"/>
    </row>
    <row r="102" spans="1:6" x14ac:dyDescent="0.25">
      <c r="A102" s="2"/>
      <c r="B102" s="15"/>
      <c r="C102" s="2"/>
      <c r="D102" s="2"/>
      <c r="E102" s="2"/>
    </row>
    <row r="103" spans="1:6" ht="27.75" customHeight="1" x14ac:dyDescent="0.25">
      <c r="A103" s="16" t="s">
        <v>46</v>
      </c>
      <c r="B103" s="79">
        <f>SUM(B99:B101)</f>
        <v>8.6499999999999994E-2</v>
      </c>
      <c r="C103" s="2"/>
      <c r="D103" s="2"/>
      <c r="E103" s="197"/>
    </row>
    <row r="104" spans="1:6" x14ac:dyDescent="0.25">
      <c r="A104" s="2"/>
      <c r="B104" s="2"/>
      <c r="C104" s="2"/>
      <c r="D104" s="2"/>
      <c r="E104" s="2"/>
    </row>
    <row r="105" spans="1:6" x14ac:dyDescent="0.25">
      <c r="A105" s="259" t="s">
        <v>47</v>
      </c>
      <c r="B105" s="260"/>
      <c r="C105" s="260"/>
      <c r="D105" s="261"/>
      <c r="E105" s="198">
        <f>E94*1.0865</f>
        <v>2891237.3844283186</v>
      </c>
    </row>
    <row r="106" spans="1:6" x14ac:dyDescent="0.25">
      <c r="A106" s="3"/>
      <c r="B106" s="2"/>
      <c r="C106" s="2"/>
      <c r="D106" s="2"/>
      <c r="E106" s="2"/>
    </row>
    <row r="107" spans="1:6" x14ac:dyDescent="0.25">
      <c r="A107" s="56" t="s">
        <v>193</v>
      </c>
      <c r="B107" s="57"/>
      <c r="C107" s="57"/>
      <c r="D107" s="57"/>
      <c r="E107" s="57"/>
    </row>
    <row r="108" spans="1:6" x14ac:dyDescent="0.25">
      <c r="A108" s="255"/>
      <c r="B108" s="256"/>
      <c r="C108" s="256"/>
      <c r="D108" s="256"/>
      <c r="E108" s="256"/>
      <c r="F108" s="257"/>
    </row>
    <row r="109" spans="1:6" ht="25.5" x14ac:dyDescent="0.25">
      <c r="A109" s="33" t="s">
        <v>18</v>
      </c>
      <c r="B109" s="33" t="s">
        <v>28</v>
      </c>
      <c r="C109" s="33" t="s">
        <v>29</v>
      </c>
      <c r="D109" s="83" t="s">
        <v>21</v>
      </c>
      <c r="E109" s="246"/>
    </row>
    <row r="110" spans="1:6" ht="15.75" x14ac:dyDescent="0.25">
      <c r="A110" s="17" t="s">
        <v>91</v>
      </c>
      <c r="B110" s="247">
        <v>135</v>
      </c>
      <c r="C110" s="248">
        <v>470.08000000000004</v>
      </c>
      <c r="D110" s="72">
        <f>B110*C110</f>
        <v>63460.800000000003</v>
      </c>
      <c r="E110" s="246"/>
    </row>
    <row r="111" spans="1:6" ht="15.75" x14ac:dyDescent="0.25">
      <c r="A111" s="249" t="s">
        <v>194</v>
      </c>
      <c r="B111" s="194" t="s">
        <v>83</v>
      </c>
      <c r="C111" s="192">
        <f>E24*97.67%</f>
        <v>649710.14720947517</v>
      </c>
      <c r="D111" s="250">
        <f>C111</f>
        <v>649710.14720947517</v>
      </c>
      <c r="E111" s="246"/>
    </row>
    <row r="112" spans="1:6" ht="15.75" x14ac:dyDescent="0.25">
      <c r="A112" s="201" t="s">
        <v>135</v>
      </c>
      <c r="B112" s="251" t="s">
        <v>83</v>
      </c>
      <c r="C112" s="254">
        <v>214534.41410909093</v>
      </c>
      <c r="D112" s="252">
        <f>C112</f>
        <v>214534.41410909093</v>
      </c>
      <c r="E112" s="246"/>
    </row>
    <row r="113" spans="1:5" x14ac:dyDescent="0.25">
      <c r="B113" s="2"/>
      <c r="C113" s="2"/>
      <c r="D113" s="258">
        <f>SUM(D110:D112)</f>
        <v>927705.36131856614</v>
      </c>
      <c r="E113" s="2"/>
    </row>
    <row r="114" spans="1:5" x14ac:dyDescent="0.25">
      <c r="A114" s="94"/>
      <c r="B114" s="2"/>
      <c r="C114" s="2"/>
      <c r="D114" s="2"/>
      <c r="E114" s="2"/>
    </row>
    <row r="115" spans="1:5" x14ac:dyDescent="0.25">
      <c r="A115" s="56" t="s">
        <v>195</v>
      </c>
      <c r="B115" s="57"/>
      <c r="C115" s="57"/>
      <c r="D115" s="57"/>
      <c r="E115" s="57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49" t="s">
        <v>18</v>
      </c>
      <c r="B117" s="49" t="s">
        <v>38</v>
      </c>
      <c r="C117" s="2"/>
      <c r="D117" s="2"/>
      <c r="E117" s="2"/>
    </row>
    <row r="118" spans="1:5" x14ac:dyDescent="0.25">
      <c r="A118" s="17" t="s">
        <v>43</v>
      </c>
      <c r="B118" s="47">
        <v>0.05</v>
      </c>
      <c r="C118" s="2"/>
      <c r="D118" s="2"/>
      <c r="E118" s="2"/>
    </row>
    <row r="119" spans="1:5" x14ac:dyDescent="0.25">
      <c r="A119" s="18" t="s">
        <v>44</v>
      </c>
      <c r="B119" s="39">
        <v>6.4999999999999997E-3</v>
      </c>
      <c r="C119" s="2"/>
      <c r="D119" s="2"/>
      <c r="E119" s="196"/>
    </row>
    <row r="120" spans="1:5" x14ac:dyDescent="0.25">
      <c r="A120" s="18" t="s">
        <v>45</v>
      </c>
      <c r="B120" s="39">
        <v>0.03</v>
      </c>
      <c r="C120" s="2"/>
      <c r="D120" s="2"/>
      <c r="E120" s="2"/>
    </row>
    <row r="121" spans="1:5" x14ac:dyDescent="0.25">
      <c r="A121" s="244" t="s">
        <v>96</v>
      </c>
      <c r="B121" s="40">
        <v>7.6799999999999993E-2</v>
      </c>
      <c r="C121" s="2"/>
      <c r="D121" s="2"/>
      <c r="E121" s="2"/>
    </row>
    <row r="122" spans="1:5" x14ac:dyDescent="0.25">
      <c r="A122" s="2"/>
      <c r="B122" s="15"/>
      <c r="C122" s="2"/>
      <c r="D122" s="2"/>
      <c r="E122" s="2"/>
    </row>
    <row r="123" spans="1:5" x14ac:dyDescent="0.25">
      <c r="A123" s="16" t="s">
        <v>46</v>
      </c>
      <c r="B123" s="79">
        <f>SUM(B118:B121)</f>
        <v>0.1633</v>
      </c>
      <c r="C123" s="2"/>
      <c r="D123" s="2"/>
      <c r="E123" s="197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59" t="s">
        <v>196</v>
      </c>
      <c r="B125" s="260"/>
      <c r="C125" s="260"/>
      <c r="D125" s="261"/>
      <c r="E125" s="198">
        <f>D113*1.1633</f>
        <v>1079199.6468218879</v>
      </c>
    </row>
    <row r="126" spans="1:5" x14ac:dyDescent="0.25">
      <c r="A126" s="3"/>
      <c r="B126" s="2"/>
      <c r="C126" s="2"/>
      <c r="D126" s="2"/>
      <c r="E126" s="2"/>
    </row>
    <row r="127" spans="1:5" ht="15.75" x14ac:dyDescent="0.25">
      <c r="A127" s="50" t="s">
        <v>197</v>
      </c>
      <c r="B127" s="52"/>
      <c r="C127" s="52"/>
      <c r="D127" s="53"/>
      <c r="E127" s="80">
        <f>E125+E105</f>
        <v>3970437.0312502068</v>
      </c>
    </row>
    <row r="128" spans="1:5" ht="15.75" x14ac:dyDescent="0.25">
      <c r="A128" s="50" t="s">
        <v>198</v>
      </c>
      <c r="B128" s="52"/>
      <c r="C128" s="52"/>
      <c r="D128" s="53"/>
      <c r="E128" s="80">
        <v>3700000</v>
      </c>
    </row>
    <row r="129" spans="1:5" x14ac:dyDescent="0.25">
      <c r="A129" s="94" t="s">
        <v>48</v>
      </c>
      <c r="B129" s="2"/>
      <c r="C129" s="2"/>
      <c r="D129" s="2"/>
      <c r="E129" s="2"/>
    </row>
    <row r="130" spans="1:5" x14ac:dyDescent="0.25">
      <c r="A130" s="26" t="s">
        <v>49</v>
      </c>
      <c r="B130" s="1"/>
      <c r="C130" s="1"/>
      <c r="D130" s="1"/>
      <c r="E130" s="1"/>
    </row>
    <row r="131" spans="1:5" x14ac:dyDescent="0.25">
      <c r="A131" s="27" t="s">
        <v>50</v>
      </c>
      <c r="B131" s="2"/>
      <c r="C131" s="2"/>
      <c r="D131" s="2"/>
      <c r="E131" s="2"/>
    </row>
    <row r="132" spans="1:5" x14ac:dyDescent="0.25">
      <c r="A132" s="27" t="s">
        <v>51</v>
      </c>
      <c r="B132" s="2"/>
      <c r="C132" s="2"/>
      <c r="D132" s="2"/>
      <c r="E132" s="2"/>
    </row>
    <row r="133" spans="1:5" x14ac:dyDescent="0.25">
      <c r="A133" s="27" t="s">
        <v>52</v>
      </c>
    </row>
    <row r="134" spans="1:5" x14ac:dyDescent="0.25">
      <c r="A134" s="27" t="s">
        <v>53</v>
      </c>
    </row>
    <row r="135" spans="1:5" x14ac:dyDescent="0.25">
      <c r="A135" s="27" t="s">
        <v>54</v>
      </c>
    </row>
    <row r="136" spans="1:5" x14ac:dyDescent="0.25">
      <c r="A136" s="27" t="s">
        <v>55</v>
      </c>
    </row>
    <row r="137" spans="1:5" x14ac:dyDescent="0.25">
      <c r="A137" s="26" t="s">
        <v>56</v>
      </c>
    </row>
    <row r="138" spans="1:5" x14ac:dyDescent="0.25">
      <c r="A138" s="27" t="s">
        <v>57</v>
      </c>
    </row>
    <row r="139" spans="1:5" x14ac:dyDescent="0.25">
      <c r="A139" s="27" t="s">
        <v>58</v>
      </c>
    </row>
    <row r="140" spans="1:5" x14ac:dyDescent="0.25">
      <c r="A140" s="29">
        <v>2</v>
      </c>
    </row>
    <row r="141" spans="1:5" x14ac:dyDescent="0.25">
      <c r="A141" s="27" t="s">
        <v>59</v>
      </c>
    </row>
    <row r="142" spans="1:5" x14ac:dyDescent="0.25">
      <c r="A142" s="29">
        <v>3</v>
      </c>
    </row>
    <row r="143" spans="1:5" x14ac:dyDescent="0.25">
      <c r="A143" s="27" t="s">
        <v>60</v>
      </c>
    </row>
    <row r="144" spans="1:5" x14ac:dyDescent="0.25">
      <c r="A144" s="29">
        <v>5</v>
      </c>
    </row>
    <row r="145" spans="1:1" x14ac:dyDescent="0.25">
      <c r="A145" s="27" t="s">
        <v>61</v>
      </c>
    </row>
    <row r="146" spans="1:1" x14ac:dyDescent="0.25">
      <c r="A146" s="27"/>
    </row>
    <row r="147" spans="1:1" x14ac:dyDescent="0.25">
      <c r="A147" s="28" t="s">
        <v>62</v>
      </c>
    </row>
    <row r="148" spans="1:1" x14ac:dyDescent="0.25">
      <c r="A148" s="2"/>
    </row>
    <row r="149" spans="1:1" x14ac:dyDescent="0.25">
      <c r="A149" s="32" t="s">
        <v>63</v>
      </c>
    </row>
  </sheetData>
  <mergeCells count="1">
    <mergeCell ref="A2:E2"/>
  </mergeCells>
  <pageMargins left="0.511811024" right="0.511811024" top="0.78740157499999996" bottom="0.78740157499999996" header="0.31496062000000002" footer="0.31496062000000002"/>
  <pageSetup paperSize="9" scale="51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DFP CATAÇÃO</vt:lpstr>
      <vt:lpstr> ALIMENTAÇÃO  CATAÇÃO</vt:lpstr>
      <vt:lpstr>MOD MOI OPÇAO 1 REV 01</vt:lpstr>
      <vt:lpstr>PREMIO + ALIMEN OPÇAO 1 REV 01</vt:lpstr>
      <vt:lpstr>DFP_869 L 18 OPÇÃO 1 REV 01</vt:lpstr>
      <vt:lpstr>'DFP CATAÇÃO'!Area_de_impressao</vt:lpstr>
      <vt:lpstr>'DFP_869 L 18 OPÇÃO 1 REV 01'!Area_de_impressao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Celice Santana Souza</dc:creator>
  <cp:lastModifiedBy>paulo</cp:lastModifiedBy>
  <cp:lastPrinted>2018-02-17T15:55:28Z</cp:lastPrinted>
  <dcterms:created xsi:type="dcterms:W3CDTF">2015-06-16T16:59:49Z</dcterms:created>
  <dcterms:modified xsi:type="dcterms:W3CDTF">2018-02-17T16:03:32Z</dcterms:modified>
</cp:coreProperties>
</file>