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BALHO\PARANAPANEMA REFRATARIO\PC 870 L 18 SULFURICO (COMPLEMENTO)\PC 870 L 18 REV 02\"/>
    </mc:Choice>
  </mc:AlternateContent>
  <bookViews>
    <workbookView xWindow="0" yWindow="0" windowWidth="20490" windowHeight="9045" tabRatio="887" activeTab="2"/>
  </bookViews>
  <sheets>
    <sheet name="DFP_870 L 18 " sheetId="8" r:id="rId1"/>
    <sheet name="DFP-uas" sheetId="9" r:id="rId2"/>
    <sheet name="DFP_870 L 18 COMPLEMENTO" sheetId="10" r:id="rId3"/>
    <sheet name="DFP-uas COMPLEMENTO" sheetId="11" r:id="rId4"/>
  </sheets>
  <definedNames>
    <definedName name="_xlnm.Print_Area" localSheetId="0">'DFP_870 L 18 '!$A$1:$E$127</definedName>
    <definedName name="_xlnm.Print_Area" localSheetId="2">'DFP_870 L 18 COMPLEMENTO'!$A$1:$E$88</definedName>
  </definedNames>
  <calcPr calcId="152511"/>
</workbook>
</file>

<file path=xl/calcChain.xml><?xml version="1.0" encoding="utf-8"?>
<calcChain xmlns="http://schemas.openxmlformats.org/spreadsheetml/2006/main">
  <c r="C48" i="8" l="1"/>
  <c r="C46" i="8"/>
  <c r="C45" i="8"/>
  <c r="H10" i="11" l="1"/>
  <c r="E8" i="10"/>
  <c r="H14" i="11"/>
  <c r="H13" i="11"/>
  <c r="H12" i="11"/>
  <c r="D31" i="10" l="1"/>
  <c r="D30" i="10"/>
  <c r="C10" i="8" l="1"/>
  <c r="C9" i="8"/>
  <c r="F10" i="9"/>
  <c r="F14" i="11"/>
  <c r="F13" i="11"/>
  <c r="F12" i="11"/>
  <c r="F10" i="11"/>
  <c r="I10" i="11" s="1"/>
  <c r="C11" i="10"/>
  <c r="C10" i="10"/>
  <c r="C9" i="10"/>
  <c r="C28" i="10"/>
  <c r="D28" i="10" s="1"/>
  <c r="C27" i="10"/>
  <c r="D27" i="10" s="1"/>
  <c r="G26" i="11"/>
  <c r="G25" i="11"/>
  <c r="G24" i="11"/>
  <c r="G23" i="11"/>
  <c r="B62" i="10"/>
  <c r="D29" i="10"/>
  <c r="D26" i="10"/>
  <c r="E12" i="10"/>
  <c r="I14" i="11" l="1"/>
  <c r="I13" i="11"/>
  <c r="G28" i="11"/>
  <c r="E13" i="10"/>
  <c r="E14" i="10" s="1"/>
  <c r="E16" i="10" s="1"/>
  <c r="I12" i="11"/>
  <c r="I19" i="11" l="1"/>
  <c r="C21" i="10"/>
  <c r="E23" i="10" s="1"/>
  <c r="E33" i="10" s="1"/>
  <c r="M13" i="9"/>
  <c r="M12" i="9"/>
  <c r="M10" i="9"/>
  <c r="C37" i="10" l="1"/>
  <c r="D37" i="10" s="1"/>
  <c r="C38" i="10"/>
  <c r="D38" i="10" s="1"/>
  <c r="C39" i="10"/>
  <c r="D39" i="10" s="1"/>
  <c r="E8" i="8"/>
  <c r="D41" i="10" l="1"/>
  <c r="C46" i="10" s="1"/>
  <c r="D46" i="10" s="1"/>
  <c r="D49" i="10" s="1"/>
  <c r="G112" i="9"/>
  <c r="G111" i="9"/>
  <c r="G110" i="9"/>
  <c r="B102" i="9"/>
  <c r="D87" i="9"/>
  <c r="D75" i="9"/>
  <c r="D74" i="9"/>
  <c r="D73" i="9"/>
  <c r="D65" i="9"/>
  <c r="D64" i="9"/>
  <c r="D63" i="9"/>
  <c r="D62" i="9"/>
  <c r="D61" i="9"/>
  <c r="D60" i="9"/>
  <c r="D59" i="9"/>
  <c r="D49" i="9"/>
  <c r="D48" i="9"/>
  <c r="C47" i="9"/>
  <c r="D47" i="9" s="1"/>
  <c r="D46" i="9"/>
  <c r="D45" i="9"/>
  <c r="D44" i="9"/>
  <c r="O13" i="9"/>
  <c r="C13" i="9"/>
  <c r="O12" i="9"/>
  <c r="C12" i="9"/>
  <c r="O11" i="9"/>
  <c r="O10" i="9"/>
  <c r="H10" i="9"/>
  <c r="D48" i="8"/>
  <c r="B102" i="8"/>
  <c r="D91" i="8"/>
  <c r="B83" i="8"/>
  <c r="D51" i="8"/>
  <c r="D50" i="8"/>
  <c r="D49" i="8"/>
  <c r="C47" i="8"/>
  <c r="D47" i="8" s="1"/>
  <c r="D46" i="8"/>
  <c r="D45" i="8"/>
  <c r="C44" i="8"/>
  <c r="D44" i="8" s="1"/>
  <c r="D43" i="8"/>
  <c r="D42" i="8"/>
  <c r="D41" i="8"/>
  <c r="D37" i="8"/>
  <c r="D36" i="8"/>
  <c r="D35" i="8"/>
  <c r="D31" i="8"/>
  <c r="C30" i="8"/>
  <c r="D30" i="8" s="1"/>
  <c r="D29" i="8"/>
  <c r="C28" i="8"/>
  <c r="D28" i="8" s="1"/>
  <c r="D27" i="8"/>
  <c r="D26" i="8"/>
  <c r="D25" i="8"/>
  <c r="E11" i="8"/>
  <c r="H12" i="9" l="1"/>
  <c r="F12" i="9"/>
  <c r="I12" i="9" s="1"/>
  <c r="H13" i="9"/>
  <c r="F13" i="9"/>
  <c r="I13" i="9" s="1"/>
  <c r="E53" i="10"/>
  <c r="E64" i="10" s="1"/>
  <c r="D54" i="9"/>
  <c r="I10" i="9"/>
  <c r="G114" i="9"/>
  <c r="D76" i="9"/>
  <c r="O15" i="9"/>
  <c r="D67" i="9"/>
  <c r="D38" i="8"/>
  <c r="D32" i="8"/>
  <c r="D52" i="8"/>
  <c r="I18" i="9" l="1"/>
  <c r="C23" i="9" l="1"/>
  <c r="C37" i="9" s="1"/>
  <c r="C39" i="9"/>
  <c r="C26" i="9"/>
  <c r="C22" i="9"/>
  <c r="C28" i="9"/>
  <c r="C29" i="9"/>
  <c r="C33" i="9"/>
  <c r="C27" i="9"/>
  <c r="H41" i="9" l="1"/>
  <c r="H56" i="9" s="1"/>
  <c r="E88" i="9" l="1"/>
  <c r="D105" i="9" s="1"/>
  <c r="E12" i="8" l="1"/>
  <c r="E13" i="8" l="1"/>
  <c r="E15" i="8" s="1"/>
  <c r="C90" i="8" l="1"/>
  <c r="D90" i="8" s="1"/>
  <c r="D92" i="8" s="1"/>
  <c r="E104" i="8" s="1"/>
  <c r="C20" i="8"/>
  <c r="E22" i="8" s="1"/>
  <c r="E54" i="8" s="1"/>
  <c r="C60" i="8" l="1"/>
  <c r="D60" i="8" s="1"/>
  <c r="C58" i="8"/>
  <c r="D58" i="8" s="1"/>
  <c r="C59" i="8"/>
  <c r="D59" i="8" s="1"/>
  <c r="D62" i="8" l="1"/>
  <c r="C67" i="8" l="1"/>
  <c r="D67" i="8" s="1"/>
  <c r="D70" i="8" s="1"/>
  <c r="E74" i="8" s="1"/>
  <c r="E85" i="8" s="1"/>
  <c r="E106" i="8" s="1"/>
</calcChain>
</file>

<file path=xl/sharedStrings.xml><?xml version="1.0" encoding="utf-8"?>
<sst xmlns="http://schemas.openxmlformats.org/spreadsheetml/2006/main" count="370" uniqueCount="176">
  <si>
    <t>1.Custos Diretos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</si>
  <si>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</si>
  <si>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</si>
  <si>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</si>
  <si>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</si>
  <si>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</si>
  <si>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</si>
  <si>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</si>
  <si>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</si>
  <si>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</si>
  <si>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</si>
  <si>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</si>
  <si>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</si>
  <si>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</si>
  <si>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</si>
  <si>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</si>
  <si>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</si>
  <si>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</si>
  <si>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</si>
  <si>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</si>
  <si>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</si>
  <si>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</si>
  <si>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</si>
  <si>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</si>
  <si>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</si>
  <si>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</si>
  <si>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</si>
  <si>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</si>
  <si>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</si>
  <si>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</si>
  <si>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</si>
  <si>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</si>
  <si>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</si>
  <si>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</si>
  <si>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</si>
  <si>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</si>
  <si>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</si>
  <si>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</si>
  <si>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</si>
  <si>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</si>
  <si>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</si>
  <si>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</si>
  <si>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</si>
  <si>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</si>
  <si>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</si>
  <si>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</si>
  <si>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</si>
  <si>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</si>
  <si>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</si>
  <si>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</si>
  <si>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</si>
  <si>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</si>
  <si>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</si>
  <si>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</si>
  <si>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</si>
  <si>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</si>
  <si>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</si>
  <si>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</si>
  <si>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</si>
  <si>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</si>
  <si>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</si>
  <si>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</si>
  <si>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</si>
  <si>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</si>
  <si>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</si>
  <si>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</si>
  <si>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</si>
  <si>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</si>
  <si>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</si>
  <si>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</si>
  <si>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</si>
  <si>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</si>
  <si>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</si>
  <si>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Reajuste 4%</t>
  </si>
  <si>
    <t xml:space="preserve">Encarregado </t>
  </si>
  <si>
    <t>Mão-de-Obra Direta</t>
  </si>
  <si>
    <t>Pedreiro Refratarista</t>
  </si>
  <si>
    <t>Ajudante</t>
  </si>
  <si>
    <t>Cortador</t>
  </si>
  <si>
    <r>
      <t>BASE: MARCO</t>
    </r>
    <r>
      <rPr>
        <sz val="10"/>
        <rFont val="Arial"/>
        <family val="2"/>
      </rPr>
      <t>/ 2015</t>
    </r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</si>
  <si>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</si>
  <si>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</si>
  <si>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</si>
  <si>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</si>
  <si>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</si>
  <si>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</si>
  <si>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</si>
  <si>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</si>
  <si>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</si>
  <si>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</si>
  <si>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</si>
  <si>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</si>
  <si>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</si>
  <si>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</si>
  <si>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</si>
  <si>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</si>
  <si>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</si>
  <si>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</si>
  <si>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</si>
  <si>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</si>
  <si>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 xml:space="preserve">1.3 Outros Custos Relativos a Mão-de-Obra </t>
  </si>
  <si>
    <t>Base de Cálculo</t>
  </si>
  <si>
    <t>Custo Mensal (R$)</t>
  </si>
  <si>
    <t>Exames Médicos</t>
  </si>
  <si>
    <t>Seguro de Acidentes Pessoais</t>
  </si>
  <si>
    <t>vb</t>
  </si>
  <si>
    <t>Cesta Básica</t>
  </si>
  <si>
    <t>Higienização de EPI´S</t>
  </si>
  <si>
    <t xml:space="preserve">Mat. Consumíveis </t>
  </si>
  <si>
    <t>Total de Outros Custos</t>
  </si>
  <si>
    <t>TOTAL Salários + Encargos + Outros Custos Mão-de-Obra</t>
  </si>
  <si>
    <t>1.4 - Infra-estrutura (Instrumentos, Equipamentos e Ferramentas)</t>
  </si>
  <si>
    <t>Custo Total (R$)</t>
  </si>
  <si>
    <t>Máquina Policort</t>
  </si>
  <si>
    <t>Disco Máquina Policorte</t>
  </si>
  <si>
    <t>Serra Tico-tico</t>
  </si>
  <si>
    <t>Serra Circular</t>
  </si>
  <si>
    <t>Rádios</t>
  </si>
  <si>
    <t>Ferramental</t>
  </si>
  <si>
    <t>Iluminaçao</t>
  </si>
  <si>
    <t>Compressor de Ar</t>
  </si>
  <si>
    <t>Martelete</t>
  </si>
  <si>
    <t>Total Infra-estrutura</t>
  </si>
  <si>
    <t>1.6  Veículos</t>
  </si>
  <si>
    <t>Pá carregadeira</t>
  </si>
  <si>
    <t>Maquina de Carga</t>
  </si>
  <si>
    <t>Total Veiculos</t>
  </si>
  <si>
    <t>1.7  Bonus Parada</t>
  </si>
  <si>
    <t>Bonus de parada</t>
  </si>
  <si>
    <t>VB</t>
  </si>
  <si>
    <t>Total Bonus Parada</t>
  </si>
  <si>
    <t>1.8  Andaime</t>
  </si>
  <si>
    <t>Andaime</t>
  </si>
  <si>
    <t>Total Andaime</t>
  </si>
  <si>
    <t>Total Custos Diretos (1.1+1.2+1.3+1.4+1.5+1.6+1.7+1.8)</t>
  </si>
  <si>
    <t>2.BDI (Benefícios, Despesas Indiretas e Impostos)</t>
  </si>
  <si>
    <t>Adm. Central e Gerenciamento</t>
  </si>
  <si>
    <t>Despesas Financeiras</t>
  </si>
  <si>
    <t>Lucro Operacional</t>
  </si>
  <si>
    <t>Provisão p/ IRPJ e CSLL</t>
  </si>
  <si>
    <t xml:space="preserve">COFINS </t>
  </si>
  <si>
    <t>Total do BDI</t>
  </si>
  <si>
    <t>Preço Total para Faturamento (Ítem 1 / (100%-Ítem 2))</t>
  </si>
  <si>
    <t xml:space="preserve">Fardamento </t>
  </si>
  <si>
    <t>EPI's</t>
  </si>
  <si>
    <t>Caminhão</t>
  </si>
  <si>
    <t>Alimentação</t>
  </si>
  <si>
    <t>vg</t>
  </si>
  <si>
    <t>Prémio parada</t>
  </si>
  <si>
    <t>PRÊMIO PARADA</t>
  </si>
  <si>
    <t>Total</t>
  </si>
  <si>
    <t>desjejum</t>
  </si>
  <si>
    <t>almoço</t>
  </si>
  <si>
    <t>Qtd</t>
  </si>
  <si>
    <t>Dias</t>
  </si>
  <si>
    <t>lanche</t>
  </si>
  <si>
    <t>COMPOSIÇÃO DE PREÇOS- UAS</t>
  </si>
  <si>
    <t xml:space="preserve"> </t>
  </si>
  <si>
    <t>Encarregado</t>
  </si>
  <si>
    <t xml:space="preserve">Misturador de Concreto </t>
  </si>
  <si>
    <t>Ponteira de Martelete</t>
  </si>
  <si>
    <t>Vibrador de Imersão</t>
  </si>
  <si>
    <t xml:space="preserve">Transporte MOI </t>
  </si>
  <si>
    <t>Fardamento</t>
  </si>
  <si>
    <t xml:space="preserve">Alimentação </t>
  </si>
  <si>
    <t>Hospedagem</t>
  </si>
  <si>
    <t>Passagem Interestadual</t>
  </si>
  <si>
    <t>Alíquota (%) em relação ao item 1</t>
  </si>
  <si>
    <t>7. Itens sem incidência de custos indiretos:</t>
  </si>
  <si>
    <t>Aviso Prévio Indenizado</t>
  </si>
  <si>
    <t>8.Tributos Incidentes sobre o Item 7.</t>
  </si>
  <si>
    <t>9. Valor Total do Item 7. (R$)</t>
  </si>
  <si>
    <t xml:space="preserve">Total para Faturamento: </t>
  </si>
  <si>
    <t>1.2 Outros Custos Diretos</t>
  </si>
  <si>
    <t>ALIMENTAÇÃO</t>
  </si>
  <si>
    <t xml:space="preserve">Hospedagem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</si>
</sst>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&quot;R$&quot;* #,##0.00_);_(&quot;R$&quot;* \(#,##0.00\);_(&quot;R$&quot;* &quot;-&quot;??_);_(@_)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rgb="FFFFFF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3">
    <xf numFmtId="0" fontId="0" fillId="0" borderId="0" xfId="0"/>
    <xf numFmtId="0" fontId="1" fillId="0" borderId="0" xfId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 wrapText="1"/>
    </xf>
    <xf numFmtId="164" fontId="3" fillId="0" borderId="0" xfId="1" applyNumberFormat="1" applyFont="1" applyBorder="1"/>
    <xf numFmtId="0" fontId="3" fillId="0" borderId="5" xfId="1" applyFont="1" applyBorder="1" applyAlignment="1">
      <alignment vertical="center"/>
    </xf>
    <xf numFmtId="0" fontId="3" fillId="0" borderId="12" xfId="3" applyNumberFormat="1" applyFont="1" applyBorder="1" applyAlignment="1">
      <alignment horizontal="center" vertic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5" fillId="0" borderId="0" xfId="1" applyFont="1" applyAlignment="1">
      <alignment horizontal="left"/>
    </xf>
    <xf numFmtId="0" fontId="3" fillId="0" borderId="0" xfId="1" applyFont="1"/>
    <xf numFmtId="0" fontId="8" fillId="0" borderId="0" xfId="1" applyFont="1"/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4" fillId="3" borderId="4" xfId="3" applyFont="1" applyFill="1" applyBorder="1" applyAlignment="1" applyProtection="1">
      <alignment vertical="center"/>
    </xf>
    <xf numFmtId="0" fontId="1" fillId="0" borderId="11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0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3" fillId="0" borderId="0" xfId="0" applyFont="1"/>
    <xf numFmtId="0" fontId="12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15" fillId="0" borderId="0" xfId="0" applyFont="1"/>
    <xf numFmtId="0" fontId="1" fillId="0" borderId="0" xfId="0" applyFont="1"/>
    <xf numFmtId="0" fontId="16" fillId="3" borderId="4" xfId="0" applyFont="1" applyFill="1" applyBorder="1" applyAlignment="1">
      <alignment horizontal="center" vertical="center" wrapText="1"/>
    </xf>
    <xf numFmtId="0" fontId="16" fillId="0" borderId="0" xfId="0" applyFont="1"/>
    <xf numFmtId="11" fontId="17" fillId="0" borderId="9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164" fontId="1" fillId="0" borderId="9" xfId="4" applyNumberFormat="1" applyFont="1" applyFill="1" applyBorder="1" applyAlignment="1" applyProtection="1">
      <alignment horizontal="center" wrapText="1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4" fontId="3" fillId="9" borderId="9" xfId="4" applyNumberFormat="1" applyFont="1" applyFill="1" applyBorder="1" applyAlignment="1">
      <alignment horizontal="center" vertical="center"/>
    </xf>
    <xf numFmtId="165" fontId="0" fillId="0" borderId="0" xfId="6" applyNumberFormat="1" applyFont="1"/>
    <xf numFmtId="1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4" applyNumberFormat="1" applyFont="1" applyFill="1" applyBorder="1" applyAlignment="1" applyProtection="1">
      <alignment horizontal="center" vertical="center"/>
      <protection locked="0"/>
    </xf>
    <xf numFmtId="166" fontId="1" fillId="0" borderId="10" xfId="5" applyNumberFormat="1" applyFont="1" applyFill="1" applyBorder="1" applyAlignment="1" applyProtection="1">
      <alignment horizontal="center" vertical="center"/>
      <protection locked="0"/>
    </xf>
    <xf numFmtId="2" fontId="1" fillId="0" borderId="10" xfId="5" applyNumberFormat="1" applyFont="1" applyFill="1" applyBorder="1" applyAlignment="1" applyProtection="1">
      <alignment horizontal="center" wrapText="1"/>
      <protection locked="0"/>
    </xf>
    <xf numFmtId="11" fontId="17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64" fontId="1" fillId="0" borderId="10" xfId="4" applyNumberFormat="1" applyFont="1" applyFill="1" applyBorder="1" applyAlignment="1" applyProtection="1">
      <alignment horizontal="center" wrapText="1"/>
      <protection locked="0"/>
    </xf>
    <xf numFmtId="164" fontId="1" fillId="0" borderId="10" xfId="4" applyNumberFormat="1" applyFont="1" applyFill="1" applyBorder="1" applyAlignment="1" applyProtection="1">
      <alignment horizontal="center" vertical="center"/>
      <protection locked="0"/>
    </xf>
    <xf numFmtId="164" fontId="1" fillId="9" borderId="10" xfId="4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/>
      <protection locked="0"/>
    </xf>
    <xf numFmtId="164" fontId="3" fillId="9" borderId="10" xfId="4" applyNumberFormat="1" applyFont="1" applyFill="1" applyBorder="1" applyAlignment="1">
      <alignment horizontal="center" vertical="center"/>
    </xf>
    <xf numFmtId="11" fontId="1" fillId="0" borderId="18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9" fontId="1" fillId="0" borderId="10" xfId="6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164" fontId="1" fillId="0" borderId="0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4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5" applyNumberFormat="1" applyFont="1" applyFill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9" xfId="0" applyFont="1" applyFill="1" applyBorder="1"/>
    <xf numFmtId="10" fontId="3" fillId="12" borderId="9" xfId="0" applyNumberFormat="1" applyFont="1" applyFill="1" applyBorder="1" applyAlignment="1" applyProtection="1">
      <alignment horizontal="center"/>
      <protection locked="0"/>
    </xf>
    <xf numFmtId="164" fontId="3" fillId="9" borderId="2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11" borderId="10" xfId="0" applyFont="1" applyFill="1" applyBorder="1"/>
    <xf numFmtId="10" fontId="1" fillId="0" borderId="10" xfId="0" applyNumberFormat="1" applyFont="1" applyFill="1" applyBorder="1" applyAlignment="1" applyProtection="1">
      <alignment horizontal="center"/>
      <protection locked="0"/>
    </xf>
    <xf numFmtId="166" fontId="1" fillId="9" borderId="24" xfId="5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1" borderId="10" xfId="0" applyFont="1" applyFill="1" applyBorder="1"/>
    <xf numFmtId="10" fontId="3" fillId="0" borderId="10" xfId="0" applyNumberFormat="1" applyFont="1" applyFill="1" applyBorder="1" applyAlignment="1" applyProtection="1">
      <alignment horizontal="center"/>
      <protection locked="0"/>
    </xf>
    <xf numFmtId="164" fontId="3" fillId="9" borderId="24" xfId="0" applyNumberFormat="1" applyFont="1" applyFill="1" applyBorder="1" applyAlignment="1">
      <alignment horizontal="center"/>
    </xf>
    <xf numFmtId="10" fontId="1" fillId="0" borderId="24" xfId="6" applyNumberFormat="1" applyFont="1" applyFill="1" applyBorder="1" applyAlignment="1">
      <alignment horizontal="center"/>
    </xf>
    <xf numFmtId="10" fontId="19" fillId="0" borderId="10" xfId="0" applyNumberFormat="1" applyFont="1" applyFill="1" applyBorder="1" applyAlignment="1" applyProtection="1">
      <alignment horizontal="center"/>
      <protection locked="0"/>
    </xf>
    <xf numFmtId="166" fontId="3" fillId="9" borderId="24" xfId="5" applyNumberFormat="1" applyFont="1" applyFill="1" applyBorder="1" applyAlignment="1">
      <alignment horizontal="center"/>
    </xf>
    <xf numFmtId="10" fontId="3" fillId="12" borderId="10" xfId="0" applyNumberFormat="1" applyFont="1" applyFill="1" applyBorder="1" applyAlignment="1" applyProtection="1">
      <alignment horizontal="center"/>
      <protection locked="0"/>
    </xf>
    <xf numFmtId="10" fontId="1" fillId="12" borderId="10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/>
    <xf numFmtId="10" fontId="1" fillId="12" borderId="14" xfId="0" applyNumberFormat="1" applyFont="1" applyFill="1" applyBorder="1" applyAlignment="1" applyProtection="1">
      <alignment horizontal="center"/>
      <protection locked="0"/>
    </xf>
    <xf numFmtId="164" fontId="1" fillId="9" borderId="2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10" fontId="3" fillId="5" borderId="4" xfId="0" applyNumberFormat="1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/>
    </xf>
    <xf numFmtId="10" fontId="1" fillId="0" borderId="0" xfId="6" applyNumberFormat="1" applyFont="1" applyFill="1" applyBorder="1" applyAlignment="1">
      <alignment horizontal="center"/>
    </xf>
    <xf numFmtId="9" fontId="1" fillId="0" borderId="0" xfId="6" applyFont="1" applyFill="1" applyBorder="1" applyAlignment="1">
      <alignment horizontal="center"/>
    </xf>
    <xf numFmtId="0" fontId="16" fillId="0" borderId="0" xfId="0" applyFont="1" applyAlignment="1">
      <alignment horizontal="right" vertical="center"/>
    </xf>
    <xf numFmtId="164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" fillId="11" borderId="3" xfId="0" applyFont="1" applyFill="1" applyBorder="1"/>
    <xf numFmtId="166" fontId="1" fillId="12" borderId="10" xfId="5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 horizontal="center"/>
      <protection locked="0"/>
    </xf>
    <xf numFmtId="166" fontId="1" fillId="12" borderId="3" xfId="5" applyNumberFormat="1" applyFont="1" applyFill="1" applyBorder="1" applyAlignment="1" applyProtection="1">
      <alignment horizontal="center"/>
      <protection locked="0"/>
    </xf>
    <xf numFmtId="166" fontId="1" fillId="13" borderId="17" xfId="5" applyNumberFormat="1" applyFont="1" applyFill="1" applyBorder="1" applyAlignment="1" applyProtection="1">
      <alignment horizontal="center"/>
      <protection locked="0"/>
    </xf>
    <xf numFmtId="166" fontId="1" fillId="13" borderId="0" xfId="5" applyNumberFormat="1" applyFont="1" applyFill="1" applyBorder="1" applyAlignment="1" applyProtection="1">
      <alignment horizontal="center"/>
      <protection locked="0"/>
    </xf>
    <xf numFmtId="166" fontId="1" fillId="9" borderId="0" xfId="5" applyNumberFormat="1" applyFont="1" applyFill="1" applyBorder="1" applyAlignment="1">
      <alignment horizontal="center"/>
    </xf>
    <xf numFmtId="0" fontId="1" fillId="11" borderId="8" xfId="0" applyFont="1" applyFill="1" applyBorder="1"/>
    <xf numFmtId="166" fontId="1" fillId="12" borderId="13" xfId="5" applyNumberFormat="1" applyFont="1" applyFill="1" applyBorder="1" applyAlignment="1" applyProtection="1">
      <alignment horizontal="center"/>
      <protection locked="0"/>
    </xf>
    <xf numFmtId="4" fontId="1" fillId="12" borderId="13" xfId="0" applyNumberFormat="1" applyFont="1" applyFill="1" applyBorder="1" applyAlignment="1" applyProtection="1">
      <alignment horizontal="center"/>
      <protection locked="0"/>
    </xf>
    <xf numFmtId="0" fontId="1" fillId="12" borderId="3" xfId="0" applyFont="1" applyFill="1" applyBorder="1" applyProtection="1">
      <protection locked="0"/>
    </xf>
    <xf numFmtId="4" fontId="1" fillId="12" borderId="10" xfId="0" applyNumberFormat="1" applyFont="1" applyFill="1" applyBorder="1" applyAlignment="1" applyProtection="1">
      <alignment horizontal="center"/>
      <protection locked="0"/>
    </xf>
    <xf numFmtId="0" fontId="1" fillId="12" borderId="10" xfId="0" applyFont="1" applyFill="1" applyBorder="1" applyAlignment="1" applyProtection="1">
      <alignment horizontal="center"/>
      <protection locked="0"/>
    </xf>
    <xf numFmtId="164" fontId="1" fillId="12" borderId="3" xfId="4" applyNumberFormat="1" applyFont="1" applyFill="1" applyBorder="1" applyAlignment="1" applyProtection="1">
      <alignment horizontal="center"/>
      <protection locked="0"/>
    </xf>
    <xf numFmtId="164" fontId="1" fillId="0" borderId="17" xfId="4" applyNumberFormat="1" applyFont="1" applyFill="1" applyBorder="1" applyAlignment="1" applyProtection="1">
      <alignment horizontal="center"/>
      <protection locked="0"/>
    </xf>
    <xf numFmtId="164" fontId="1" fillId="0" borderId="0" xfId="4" applyNumberFormat="1" applyFont="1" applyFill="1" applyBorder="1" applyAlignment="1" applyProtection="1">
      <alignment horizontal="center"/>
      <protection locked="0"/>
    </xf>
    <xf numFmtId="164" fontId="1" fillId="0" borderId="0" xfId="4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vertical="center"/>
    </xf>
    <xf numFmtId="166" fontId="3" fillId="5" borderId="14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4" fillId="0" borderId="0" xfId="0" applyFont="1"/>
    <xf numFmtId="0" fontId="16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3" fillId="9" borderId="17" xfId="0" applyFont="1" applyFill="1" applyBorder="1" applyAlignment="1">
      <alignment horizontal="center" vertical="justify"/>
    </xf>
    <xf numFmtId="0" fontId="3" fillId="9" borderId="0" xfId="0" applyFont="1" applyFill="1" applyBorder="1" applyAlignment="1">
      <alignment horizontal="center" vertical="justify"/>
    </xf>
    <xf numFmtId="1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66" fontId="1" fillId="0" borderId="10" xfId="5" applyNumberFormat="1" applyFont="1" applyFill="1" applyBorder="1" applyAlignment="1" applyProtection="1">
      <alignment horizontal="left" shrinkToFit="1"/>
      <protection locked="0"/>
    </xf>
    <xf numFmtId="166" fontId="1" fillId="0" borderId="3" xfId="5" applyNumberFormat="1" applyFont="1" applyFill="1" applyBorder="1" applyAlignment="1" applyProtection="1">
      <alignment horizontal="left" shrinkToFit="1"/>
      <protection locked="0"/>
    </xf>
    <xf numFmtId="166" fontId="1" fillId="9" borderId="17" xfId="5" applyNumberFormat="1" applyFont="1" applyFill="1" applyBorder="1" applyAlignment="1">
      <alignment horizontal="left" shrinkToFit="1"/>
    </xf>
    <xf numFmtId="166" fontId="1" fillId="9" borderId="0" xfId="5" applyNumberFormat="1" applyFont="1" applyFill="1" applyBorder="1" applyAlignment="1">
      <alignment horizontal="left" shrinkToFit="1"/>
    </xf>
    <xf numFmtId="0" fontId="1" fillId="0" borderId="10" xfId="0" applyFont="1" applyBorder="1"/>
    <xf numFmtId="10" fontId="1" fillId="0" borderId="26" xfId="0" applyNumberFormat="1" applyFont="1" applyFill="1" applyBorder="1" applyAlignment="1" applyProtection="1">
      <alignment horizontal="left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166" fontId="1" fillId="10" borderId="10" xfId="5" applyNumberFormat="1" applyFont="1" applyFill="1" applyBorder="1" applyAlignment="1" applyProtection="1">
      <alignment horizontal="left" shrinkToFit="1"/>
      <protection locked="0"/>
    </xf>
    <xf numFmtId="0" fontId="1" fillId="9" borderId="24" xfId="0" applyFont="1" applyFill="1" applyBorder="1" applyProtection="1">
      <protection locked="0"/>
    </xf>
    <xf numFmtId="0" fontId="1" fillId="9" borderId="22" xfId="0" applyFont="1" applyFill="1" applyBorder="1" applyAlignment="1" applyProtection="1">
      <alignment horizontal="center"/>
      <protection locked="0"/>
    </xf>
    <xf numFmtId="166" fontId="1" fillId="9" borderId="10" xfId="5" applyNumberFormat="1" applyFont="1" applyFill="1" applyBorder="1" applyAlignment="1" applyProtection="1">
      <alignment horizontal="center"/>
      <protection locked="0"/>
    </xf>
    <xf numFmtId="166" fontId="1" fillId="9" borderId="18" xfId="5" applyNumberFormat="1" applyFont="1" applyFill="1" applyBorder="1" applyAlignment="1" applyProtection="1">
      <alignment horizontal="center"/>
      <protection locked="0"/>
    </xf>
    <xf numFmtId="164" fontId="1" fillId="9" borderId="17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6" fontId="3" fillId="5" borderId="6" xfId="5" applyNumberFormat="1" applyFont="1" applyFill="1" applyBorder="1" applyAlignment="1">
      <alignment horizontal="right" vertical="center"/>
    </xf>
    <xf numFmtId="166" fontId="3" fillId="0" borderId="17" xfId="5" applyNumberFormat="1" applyFont="1" applyFill="1" applyBorder="1" applyAlignment="1">
      <alignment horizontal="right" vertical="center"/>
    </xf>
    <xf numFmtId="166" fontId="3" fillId="0" borderId="0" xfId="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10" fontId="1" fillId="0" borderId="0" xfId="6" applyNumberFormat="1" applyFont="1"/>
    <xf numFmtId="0" fontId="3" fillId="3" borderId="4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1" fillId="9" borderId="2" xfId="0" applyFont="1" applyFill="1" applyBorder="1"/>
    <xf numFmtId="0" fontId="1" fillId="9" borderId="27" xfId="0" applyNumberFormat="1" applyFont="1" applyFill="1" applyBorder="1" applyAlignment="1" applyProtection="1">
      <alignment horizontal="center"/>
      <protection locked="0"/>
    </xf>
    <xf numFmtId="166" fontId="1" fillId="9" borderId="28" xfId="5" applyNumberFormat="1" applyFont="1" applyFill="1" applyBorder="1" applyAlignment="1" applyProtection="1">
      <alignment horizontal="center"/>
      <protection locked="0"/>
    </xf>
    <xf numFmtId="166" fontId="1" fillId="9" borderId="29" xfId="5" applyNumberFormat="1" applyFont="1" applyFill="1" applyBorder="1" applyAlignment="1" applyProtection="1">
      <alignment horizontal="center"/>
      <protection locked="0"/>
    </xf>
    <xf numFmtId="166" fontId="1" fillId="0" borderId="0" xfId="5" applyNumberFormat="1" applyFont="1" applyFill="1" applyBorder="1" applyAlignment="1">
      <alignment horizontal="center"/>
    </xf>
    <xf numFmtId="0" fontId="1" fillId="9" borderId="8" xfId="0" applyFont="1" applyFill="1" applyBorder="1"/>
    <xf numFmtId="0" fontId="1" fillId="9" borderId="30" xfId="0" applyNumberFormat="1" applyFont="1" applyFill="1" applyBorder="1" applyAlignment="1" applyProtection="1">
      <alignment horizontal="center"/>
      <protection locked="0"/>
    </xf>
    <xf numFmtId="166" fontId="1" fillId="9" borderId="31" xfId="5" applyNumberFormat="1" applyFont="1" applyFill="1" applyBorder="1" applyAlignment="1" applyProtection="1">
      <alignment horizontal="center"/>
      <protection locked="0"/>
    </xf>
    <xf numFmtId="166" fontId="1" fillId="9" borderId="32" xfId="5" applyNumberFormat="1" applyFont="1" applyFill="1" applyBorder="1" applyAlignment="1" applyProtection="1">
      <alignment horizontal="center"/>
      <protection locked="0"/>
    </xf>
    <xf numFmtId="0" fontId="1" fillId="9" borderId="33" xfId="0" applyFont="1" applyFill="1" applyBorder="1" applyAlignment="1" applyProtection="1">
      <alignment horizontal="center"/>
      <protection locked="0"/>
    </xf>
    <xf numFmtId="166" fontId="1" fillId="9" borderId="34" xfId="5" applyNumberFormat="1" applyFont="1" applyFill="1" applyBorder="1" applyAlignment="1" applyProtection="1">
      <alignment horizontal="center"/>
      <protection locked="0"/>
    </xf>
    <xf numFmtId="0" fontId="0" fillId="9" borderId="0" xfId="0" applyFill="1"/>
    <xf numFmtId="166" fontId="3" fillId="14" borderId="7" xfId="0" applyNumberFormat="1" applyFont="1" applyFill="1" applyBorder="1" applyAlignment="1">
      <alignment vertical="center"/>
    </xf>
    <xf numFmtId="166" fontId="3" fillId="0" borderId="0" xfId="5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justify"/>
    </xf>
    <xf numFmtId="0" fontId="1" fillId="0" borderId="2" xfId="0" applyFont="1" applyFill="1" applyBorder="1"/>
    <xf numFmtId="0" fontId="1" fillId="0" borderId="9" xfId="0" applyNumberFormat="1" applyFont="1" applyFill="1" applyBorder="1" applyAlignment="1" applyProtection="1">
      <alignment horizontal="center"/>
      <protection locked="0"/>
    </xf>
    <xf numFmtId="166" fontId="1" fillId="0" borderId="9" xfId="5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166" fontId="1" fillId="0" borderId="14" xfId="5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6" fontId="3" fillId="15" borderId="4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1" fillId="10" borderId="35" xfId="0" applyFont="1" applyFill="1" applyBorder="1" applyProtection="1">
      <protection locked="0"/>
    </xf>
    <xf numFmtId="166" fontId="1" fillId="0" borderId="3" xfId="5" applyNumberFormat="1" applyFont="1" applyFill="1" applyBorder="1" applyAlignment="1" applyProtection="1">
      <alignment horizontal="center" shrinkToFit="1"/>
      <protection locked="0"/>
    </xf>
    <xf numFmtId="164" fontId="1" fillId="0" borderId="17" xfId="4" applyNumberFormat="1" applyFont="1" applyFill="1" applyBorder="1" applyAlignment="1">
      <alignment horizontal="center" shrinkToFit="1"/>
    </xf>
    <xf numFmtId="164" fontId="1" fillId="0" borderId="0" xfId="4" applyNumberFormat="1" applyFont="1" applyFill="1" applyBorder="1" applyAlignment="1">
      <alignment horizontal="center" shrinkToFit="1"/>
    </xf>
    <xf numFmtId="166" fontId="3" fillId="5" borderId="36" xfId="0" applyNumberFormat="1" applyFont="1" applyFill="1" applyBorder="1" applyAlignment="1">
      <alignment vertical="center"/>
    </xf>
    <xf numFmtId="166" fontId="3" fillId="3" borderId="4" xfId="5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1" fillId="11" borderId="9" xfId="0" applyFont="1" applyFill="1" applyBorder="1"/>
    <xf numFmtId="10" fontId="1" fillId="12" borderId="9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/>
    <xf numFmtId="166" fontId="1" fillId="0" borderId="0" xfId="5" applyNumberFormat="1" applyFont="1"/>
    <xf numFmtId="10" fontId="1" fillId="0" borderId="0" xfId="0" applyNumberFormat="1" applyFont="1" applyAlignment="1">
      <alignment horizontal="center"/>
    </xf>
    <xf numFmtId="0" fontId="18" fillId="2" borderId="4" xfId="0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6" fontId="18" fillId="0" borderId="0" xfId="5" applyNumberFormat="1" applyFont="1" applyFill="1" applyBorder="1" applyAlignment="1">
      <alignment horizontal="center" vertical="center"/>
    </xf>
    <xf numFmtId="0" fontId="20" fillId="0" borderId="0" xfId="0" applyFont="1"/>
    <xf numFmtId="0" fontId="13" fillId="0" borderId="0" xfId="0" applyFont="1" applyFill="1" applyBorder="1" applyAlignment="1">
      <alignment horizontal="right"/>
    </xf>
    <xf numFmtId="164" fontId="13" fillId="0" borderId="0" xfId="0" applyNumberFormat="1" applyFont="1"/>
    <xf numFmtId="165" fontId="13" fillId="0" borderId="0" xfId="6" applyNumberFormat="1" applyFont="1" applyAlignment="1">
      <alignment horizontal="right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0" applyNumberFormat="1" applyFont="1"/>
    <xf numFmtId="4" fontId="1" fillId="0" borderId="10" xfId="0" applyNumberFormat="1" applyFont="1" applyFill="1" applyBorder="1" applyAlignment="1" applyProtection="1">
      <alignment horizontal="center"/>
      <protection locked="0"/>
    </xf>
    <xf numFmtId="0" fontId="1" fillId="4" borderId="10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0" fontId="1" fillId="4" borderId="10" xfId="1" applyNumberFormat="1" applyFont="1" applyFill="1" applyBorder="1" applyAlignment="1" applyProtection="1">
      <alignment horizontal="center"/>
      <protection locked="0"/>
    </xf>
    <xf numFmtId="10" fontId="1" fillId="4" borderId="16" xfId="1" applyNumberFormat="1" applyFont="1" applyFill="1" applyBorder="1" applyAlignment="1" applyProtection="1">
      <alignment horizontal="center"/>
      <protection locked="0"/>
    </xf>
    <xf numFmtId="10" fontId="1" fillId="4" borderId="14" xfId="1" applyNumberFormat="1" applyFont="1" applyFill="1" applyBorder="1" applyAlignment="1" applyProtection="1">
      <alignment horizontal="center"/>
      <protection locked="0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0" fontId="1" fillId="12" borderId="0" xfId="0" applyFont="1" applyFill="1" applyBorder="1" applyProtection="1">
      <protection locked="0"/>
    </xf>
    <xf numFmtId="166" fontId="1" fillId="12" borderId="17" xfId="5" applyNumberFormat="1" applyFont="1" applyFill="1" applyBorder="1" applyAlignment="1" applyProtection="1">
      <alignment horizontal="center"/>
      <protection locked="0"/>
    </xf>
    <xf numFmtId="0" fontId="1" fillId="12" borderId="17" xfId="0" applyFont="1" applyFill="1" applyBorder="1" applyAlignment="1" applyProtection="1">
      <alignment horizontal="center"/>
      <protection locked="0"/>
    </xf>
    <xf numFmtId="164" fontId="1" fillId="12" borderId="22" xfId="4" applyNumberFormat="1" applyFont="1" applyFill="1" applyBorder="1" applyAlignment="1" applyProtection="1">
      <alignment horizontal="center"/>
      <protection locked="0"/>
    </xf>
    <xf numFmtId="44" fontId="0" fillId="0" borderId="0" xfId="5" applyFont="1"/>
    <xf numFmtId="166" fontId="1" fillId="0" borderId="10" xfId="5" applyNumberFormat="1" applyFont="1" applyFill="1" applyBorder="1" applyAlignment="1">
      <alignment horizontal="center" vertical="center"/>
    </xf>
    <xf numFmtId="164" fontId="1" fillId="0" borderId="10" xfId="4" applyNumberFormat="1" applyFont="1" applyFill="1" applyBorder="1" applyAlignment="1">
      <alignment horizontal="center" vertical="center"/>
    </xf>
    <xf numFmtId="44" fontId="21" fillId="10" borderId="0" xfId="5" applyFont="1" applyFill="1"/>
    <xf numFmtId="0" fontId="3" fillId="0" borderId="0" xfId="0" applyFont="1"/>
    <xf numFmtId="0" fontId="1" fillId="0" borderId="4" xfId="0" applyFont="1" applyBorder="1" applyAlignment="1">
      <alignment horizontal="center"/>
    </xf>
    <xf numFmtId="44" fontId="1" fillId="0" borderId="0" xfId="5" applyFont="1" applyAlignment="1">
      <alignment horizontal="center" vertical="center"/>
    </xf>
    <xf numFmtId="44" fontId="3" fillId="10" borderId="0" xfId="5" applyFont="1" applyFill="1" applyAlignment="1">
      <alignment horizontal="center" vertical="center"/>
    </xf>
    <xf numFmtId="0" fontId="13" fillId="0" borderId="4" xfId="0" applyFont="1" applyFill="1" applyBorder="1" applyAlignment="1">
      <alignment horizontal="right"/>
    </xf>
    <xf numFmtId="0" fontId="2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44" fontId="1" fillId="0" borderId="4" xfId="5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0" fontId="1" fillId="4" borderId="10" xfId="1" applyNumberFormat="1" applyFont="1" applyFill="1" applyBorder="1" applyAlignment="1" applyProtection="1">
      <alignment horizontal="left"/>
      <protection locked="0"/>
    </xf>
    <xf numFmtId="164" fontId="1" fillId="4" borderId="10" xfId="3" applyFont="1" applyFill="1" applyBorder="1" applyAlignment="1" applyProtection="1">
      <alignment horizontal="center"/>
      <protection locked="0"/>
    </xf>
    <xf numFmtId="164" fontId="1" fillId="3" borderId="10" xfId="1" applyNumberFormat="1" applyFont="1" applyFill="1" applyBorder="1" applyAlignment="1" applyProtection="1">
      <alignment horizontal="center"/>
    </xf>
    <xf numFmtId="0" fontId="1" fillId="0" borderId="3" xfId="1" applyFont="1" applyBorder="1"/>
    <xf numFmtId="164" fontId="1" fillId="3" borderId="9" xfId="3" applyFont="1" applyFill="1" applyBorder="1" applyAlignment="1" applyProtection="1">
      <alignment horizontal="center"/>
    </xf>
    <xf numFmtId="164" fontId="1" fillId="3" borderId="10" xfId="3" applyFont="1" applyFill="1" applyBorder="1" applyAlignment="1" applyProtection="1">
      <alignment horizontal="center"/>
    </xf>
    <xf numFmtId="0" fontId="1" fillId="0" borderId="17" xfId="1" applyFont="1" applyFill="1" applyBorder="1" applyProtection="1">
      <protection locked="0"/>
    </xf>
    <xf numFmtId="164" fontId="1" fillId="3" borderId="16" xfId="3" applyFont="1" applyFill="1" applyBorder="1" applyAlignment="1" applyProtection="1">
      <alignment horizontal="center"/>
    </xf>
    <xf numFmtId="0" fontId="1" fillId="0" borderId="2" xfId="1" applyFont="1" applyBorder="1"/>
    <xf numFmtId="0" fontId="1" fillId="0" borderId="9" xfId="1" applyFont="1" applyBorder="1"/>
    <xf numFmtId="0" fontId="1" fillId="0" borderId="10" xfId="1" applyFont="1" applyBorder="1"/>
    <xf numFmtId="0" fontId="1" fillId="0" borderId="1" xfId="1" applyFont="1" applyBorder="1"/>
    <xf numFmtId="0" fontId="1" fillId="0" borderId="0" xfId="1" applyFont="1"/>
    <xf numFmtId="10" fontId="1" fillId="0" borderId="0" xfId="1" applyNumberFormat="1" applyFont="1" applyAlignment="1">
      <alignment horizontal="center"/>
    </xf>
    <xf numFmtId="44" fontId="3" fillId="2" borderId="4" xfId="5" applyFont="1" applyFill="1" applyBorder="1" applyAlignment="1">
      <alignment horizontal="left"/>
    </xf>
    <xf numFmtId="0" fontId="1" fillId="4" borderId="10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0" fontId="3" fillId="2" borderId="0" xfId="1" applyFont="1" applyFill="1" applyAlignment="1">
      <alignment horizontal="left" vertical="center"/>
    </xf>
    <xf numFmtId="166" fontId="3" fillId="0" borderId="17" xfId="5" applyNumberFormat="1" applyFont="1" applyFill="1" applyBorder="1" applyAlignment="1">
      <alignment horizontal="center" vertical="center" shrinkToFit="1"/>
    </xf>
    <xf numFmtId="166" fontId="3" fillId="0" borderId="0" xfId="5" applyNumberFormat="1" applyFont="1" applyFill="1" applyBorder="1" applyAlignment="1">
      <alignment horizontal="center" vertical="center" shrinkToFit="1"/>
    </xf>
    <xf numFmtId="166" fontId="3" fillId="5" borderId="4" xfId="5" applyNumberFormat="1" applyFont="1" applyFill="1" applyBorder="1" applyAlignment="1">
      <alignment horizontal="center" vertical="center"/>
    </xf>
    <xf numFmtId="0" fontId="1" fillId="4" borderId="13" xfId="1" applyFont="1" applyFill="1" applyBorder="1" applyAlignment="1" applyProtection="1">
      <alignment vertical="center"/>
      <protection locked="0"/>
    </xf>
    <xf numFmtId="0" fontId="1" fillId="4" borderId="13" xfId="1" applyFont="1" applyFill="1" applyBorder="1" applyAlignment="1" applyProtection="1">
      <alignment horizontal="center"/>
      <protection locked="0"/>
    </xf>
    <xf numFmtId="164" fontId="1" fillId="4" borderId="13" xfId="3" applyFont="1" applyFill="1" applyBorder="1" applyAlignment="1" applyProtection="1">
      <alignment horizontal="center" wrapText="1"/>
      <protection locked="0"/>
    </xf>
    <xf numFmtId="0" fontId="1" fillId="4" borderId="13" xfId="3" applyNumberFormat="1" applyFont="1" applyFill="1" applyBorder="1" applyAlignment="1" applyProtection="1">
      <alignment horizontal="center" vertical="center"/>
      <protection locked="0"/>
    </xf>
    <xf numFmtId="164" fontId="1" fillId="3" borderId="13" xfId="3" applyFont="1" applyFill="1" applyBorder="1" applyAlignment="1" applyProtection="1">
      <alignment horizontal="center" vertical="center"/>
    </xf>
    <xf numFmtId="0" fontId="1" fillId="4" borderId="14" xfId="3" applyNumberFormat="1" applyFont="1" applyFill="1" applyBorder="1" applyAlignment="1" applyProtection="1">
      <alignment horizontal="center" vertical="center"/>
      <protection locked="0"/>
    </xf>
    <xf numFmtId="164" fontId="1" fillId="3" borderId="14" xfId="3" applyFont="1" applyFill="1" applyBorder="1" applyAlignment="1" applyProtection="1">
      <alignment horizontal="center" vertical="center"/>
    </xf>
    <xf numFmtId="0" fontId="1" fillId="0" borderId="6" xfId="1" applyFont="1" applyBorder="1" applyAlignment="1">
      <alignment horizontal="center"/>
    </xf>
    <xf numFmtId="164" fontId="1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1" fillId="0" borderId="6" xfId="1" applyFont="1" applyBorder="1" applyProtection="1">
      <protection locked="0"/>
    </xf>
    <xf numFmtId="0" fontId="3" fillId="0" borderId="0" xfId="1" applyFont="1" applyBorder="1"/>
    <xf numFmtId="0" fontId="1" fillId="0" borderId="0" xfId="1" applyFont="1" applyBorder="1"/>
    <xf numFmtId="0" fontId="1" fillId="0" borderId="11" xfId="1" applyFont="1" applyBorder="1"/>
    <xf numFmtId="0" fontId="1" fillId="0" borderId="0" xfId="1" applyFont="1" applyBorder="1" applyAlignment="1">
      <alignment horizontal="center"/>
    </xf>
    <xf numFmtId="10" fontId="3" fillId="8" borderId="4" xfId="2" applyNumberFormat="1" applyFont="1" applyFill="1" applyBorder="1" applyAlignment="1" applyProtection="1">
      <alignment vertical="center"/>
    </xf>
    <xf numFmtId="164" fontId="1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1" fillId="7" borderId="4" xfId="1" applyFont="1" applyFill="1" applyBorder="1"/>
    <xf numFmtId="10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4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Alignment="1">
      <alignment horizontal="right"/>
    </xf>
    <xf numFmtId="0" fontId="1" fillId="0" borderId="37" xfId="1" applyFont="1" applyBorder="1"/>
    <xf numFmtId="0" fontId="1" fillId="4" borderId="38" xfId="1" applyNumberFormat="1" applyFont="1" applyFill="1" applyBorder="1" applyAlignment="1" applyProtection="1">
      <alignment horizontal="center"/>
      <protection locked="0"/>
    </xf>
    <xf numFmtId="164" fontId="1" fillId="3" borderId="39" xfId="1" applyNumberFormat="1" applyFont="1" applyFill="1" applyBorder="1" applyAlignment="1" applyProtection="1">
      <alignment horizontal="center"/>
    </xf>
    <xf numFmtId="0" fontId="1" fillId="0" borderId="18" xfId="1" applyFont="1" applyBorder="1"/>
    <xf numFmtId="164" fontId="1" fillId="3" borderId="18" xfId="1" applyNumberFormat="1" applyFont="1" applyFill="1" applyBorder="1" applyAlignment="1" applyProtection="1">
      <alignment horizontal="center"/>
    </xf>
    <xf numFmtId="0" fontId="1" fillId="0" borderId="14" xfId="1" applyFont="1" applyBorder="1"/>
    <xf numFmtId="0" fontId="1" fillId="0" borderId="14" xfId="1" applyFont="1" applyFill="1" applyBorder="1" applyProtection="1">
      <protection locked="0"/>
    </xf>
    <xf numFmtId="0" fontId="1" fillId="5" borderId="7" xfId="1" applyFont="1" applyFill="1" applyBorder="1" applyAlignment="1">
      <alignment vertical="center"/>
    </xf>
    <xf numFmtId="2" fontId="0" fillId="0" borderId="0" xfId="0" applyNumberFormat="1"/>
    <xf numFmtId="164" fontId="1" fillId="3" borderId="14" xfId="3" applyFont="1" applyFill="1" applyBorder="1" applyAlignment="1" applyProtection="1">
      <alignment horizontal="center"/>
    </xf>
    <xf numFmtId="0" fontId="1" fillId="0" borderId="15" xfId="1" applyFont="1" applyFill="1" applyBorder="1" applyProtection="1">
      <protection locked="0"/>
    </xf>
    <xf numFmtId="164" fontId="1" fillId="3" borderId="1" xfId="3" applyFont="1" applyFill="1" applyBorder="1" applyAlignment="1" applyProtection="1">
      <alignment horizontal="center"/>
    </xf>
    <xf numFmtId="43" fontId="1" fillId="0" borderId="0" xfId="1" applyNumberFormat="1" applyFont="1"/>
    <xf numFmtId="43" fontId="1" fillId="0" borderId="0" xfId="1" applyNumberFormat="1" applyFont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164" fontId="4" fillId="9" borderId="0" xfId="3" applyFont="1" applyFill="1" applyBorder="1" applyAlignment="1" applyProtection="1">
      <alignment vertical="center"/>
    </xf>
    <xf numFmtId="0" fontId="1" fillId="0" borderId="10" xfId="1" applyFont="1" applyFill="1" applyBorder="1" applyProtection="1">
      <protection locked="0"/>
    </xf>
    <xf numFmtId="0" fontId="1" fillId="4" borderId="14" xfId="1" applyFont="1" applyFill="1" applyBorder="1" applyAlignment="1" applyProtection="1">
      <alignment horizontal="center"/>
      <protection locked="0"/>
    </xf>
    <xf numFmtId="164" fontId="1" fillId="4" borderId="14" xfId="3" applyFont="1" applyFill="1" applyBorder="1" applyAlignment="1" applyProtection="1">
      <alignment horizontal="center"/>
      <protection locked="0"/>
    </xf>
    <xf numFmtId="164" fontId="3" fillId="5" borderId="1" xfId="1" applyNumberFormat="1" applyFont="1" applyFill="1" applyBorder="1" applyAlignment="1" applyProtection="1">
      <alignment horizontal="right" vertical="center"/>
    </xf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1" fillId="0" borderId="39" xfId="1" applyBorder="1"/>
    <xf numFmtId="164" fontId="1" fillId="4" borderId="40" xfId="3" applyFont="1" applyFill="1" applyBorder="1" applyAlignment="1" applyProtection="1">
      <alignment horizontal="center"/>
      <protection locked="0"/>
    </xf>
    <xf numFmtId="164" fontId="1" fillId="3" borderId="40" xfId="3" applyFont="1" applyFill="1" applyBorder="1" applyAlignment="1" applyProtection="1">
      <alignment horizontal="center"/>
    </xf>
    <xf numFmtId="2" fontId="1" fillId="10" borderId="10" xfId="5" applyNumberFormat="1" applyFont="1" applyFill="1" applyBorder="1" applyAlignment="1" applyProtection="1">
      <alignment horizontal="center" wrapText="1"/>
      <protection locked="0"/>
    </xf>
    <xf numFmtId="2" fontId="1" fillId="9" borderId="10" xfId="5" applyNumberFormat="1" applyFont="1" applyFill="1" applyBorder="1" applyAlignment="1" applyProtection="1">
      <alignment horizontal="center" wrapText="1"/>
      <protection locked="0"/>
    </xf>
    <xf numFmtId="0" fontId="9" fillId="6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166" fontId="18" fillId="3" borderId="4" xfId="5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6" fontId="3" fillId="5" borderId="5" xfId="5" applyNumberFormat="1" applyFont="1" applyFill="1" applyBorder="1" applyAlignment="1">
      <alignment horizontal="center" vertical="center"/>
    </xf>
    <xf numFmtId="166" fontId="3" fillId="5" borderId="7" xfId="5" applyNumberFormat="1" applyFont="1" applyFill="1" applyBorder="1" applyAlignment="1">
      <alignment horizontal="center" vertical="center"/>
    </xf>
    <xf numFmtId="166" fontId="3" fillId="0" borderId="17" xfId="5" applyNumberFormat="1" applyFont="1" applyFill="1" applyBorder="1" applyAlignment="1">
      <alignment horizontal="center" vertical="center" shrinkToFit="1"/>
    </xf>
    <xf numFmtId="166" fontId="3" fillId="0" borderId="0" xfId="5" applyNumberFormat="1" applyFont="1" applyFill="1" applyBorder="1" applyAlignment="1">
      <alignment horizontal="center" vertical="center" shrinkToFit="1"/>
    </xf>
    <xf numFmtId="166" fontId="3" fillId="5" borderId="4" xfId="5" applyNumberFormat="1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166" fontId="3" fillId="5" borderId="5" xfId="0" applyNumberFormat="1" applyFont="1" applyFill="1" applyBorder="1" applyAlignment="1">
      <alignment horizontal="center" vertical="center"/>
    </xf>
    <xf numFmtId="166" fontId="3" fillId="5" borderId="7" xfId="0" applyNumberFormat="1" applyFont="1" applyFill="1" applyBorder="1" applyAlignment="1">
      <alignment horizontal="center" vertical="center"/>
    </xf>
    <xf numFmtId="166" fontId="3" fillId="3" borderId="5" xfId="5" applyNumberFormat="1" applyFont="1" applyFill="1" applyBorder="1" applyAlignment="1">
      <alignment horizontal="center" vertical="center" shrinkToFit="1"/>
    </xf>
    <xf numFmtId="166" fontId="3" fillId="3" borderId="6" xfId="5" applyNumberFormat="1" applyFont="1" applyFill="1" applyBorder="1" applyAlignment="1">
      <alignment horizontal="center" vertical="center" shrinkToFit="1"/>
    </xf>
    <xf numFmtId="166" fontId="3" fillId="3" borderId="7" xfId="5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/>
    </xf>
  </cellXfs>
  <cellStyles count="7">
    <cellStyle name="Moeda" xfId="5" builtinId="4"/>
    <cellStyle name="Normal" xfId="0" builtinId="0"/>
    <cellStyle name="Normal 2" xfId="1"/>
    <cellStyle name="Porcentagem" xfId="6" builtinId="5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2</xdr:row>
      <xdr:rowOff>57150</xdr:rowOff>
    </xdr:from>
    <xdr:to>
      <xdr:col>4</xdr:col>
      <xdr:colOff>1152525</xdr:colOff>
      <xdr:row>5</xdr:row>
      <xdr:rowOff>137610</xdr:rowOff>
    </xdr:to>
    <xdr:pic>
      <xdr:nvPicPr>
        <xdr:cNvPr id="2" name="Imagem 1" descr="MARCA_corporativa">
          <a:extLst>
            <a:ext uri="{FF2B5EF4-FFF2-40B4-BE49-F238E27FC236}">
              <a16:creationId xmlns="" xmlns:a16="http://schemas.microsoft.com/office/drawing/2014/main" id="{65AC0146-FDD0-4803-A97F-8BEAE41C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466725"/>
          <a:ext cx="2800350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2</xdr:row>
      <xdr:rowOff>57150</xdr:rowOff>
    </xdr:from>
    <xdr:to>
      <xdr:col>4</xdr:col>
      <xdr:colOff>1152525</xdr:colOff>
      <xdr:row>5</xdr:row>
      <xdr:rowOff>137610</xdr:rowOff>
    </xdr:to>
    <xdr:pic>
      <xdr:nvPicPr>
        <xdr:cNvPr id="2" name="Imagem 1" descr="MARCA_corporativa">
          <a:extLst>
            <a:ext uri="{FF2B5EF4-FFF2-40B4-BE49-F238E27FC236}">
              <a16:creationId xmlns="" xmlns:a16="http://schemas.microsoft.com/office/drawing/2014/main" id="{65AC0146-FDD0-4803-A97F-8BEAE41C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466725"/>
          <a:ext cx="2800350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showGridLines="0" view="pageBreakPreview" topLeftCell="A98" zoomScaleNormal="100" zoomScaleSheetLayoutView="100" workbookViewId="0">
      <selection activeCell="H112" sqref="H111:H112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4.140625" customWidth="1"/>
    <col min="5" max="5" width="18.140625" customWidth="1"/>
    <col min="6" max="6" width="12" customWidth="1"/>
    <col min="9" max="9" width="14.42578125" bestFit="1" customWidth="1"/>
  </cols>
  <sheetData>
    <row r="1" spans="1:5" ht="7.5" customHeight="1" thickBot="1" x14ac:dyDescent="0.3"/>
    <row r="2" spans="1:5" ht="24.75" customHeight="1" thickBot="1" x14ac:dyDescent="0.3">
      <c r="A2" s="320" t="s">
        <v>62</v>
      </c>
      <c r="B2" s="321"/>
      <c r="C2" s="321"/>
      <c r="D2" s="321"/>
      <c r="E2" s="322"/>
    </row>
    <row r="4" spans="1:5" x14ac:dyDescent="0.25">
      <c r="A4" s="263" t="s">
        <v>0</v>
      </c>
      <c r="B4" s="21" t="s">
        <v>157</v>
      </c>
      <c r="C4" s="21"/>
      <c r="D4" s="21"/>
      <c r="E4" s="21"/>
    </row>
    <row r="5" spans="1:5" x14ac:dyDescent="0.25">
      <c r="A5" s="258"/>
      <c r="B5" s="258"/>
      <c r="C5" s="258"/>
      <c r="D5" s="258"/>
      <c r="E5" s="258"/>
    </row>
    <row r="6" spans="1:5" x14ac:dyDescent="0.25">
      <c r="A6" s="14" t="s">
        <v>1</v>
      </c>
      <c r="B6" s="258"/>
      <c r="C6" s="258"/>
      <c r="D6" s="258"/>
      <c r="E6" s="258"/>
    </row>
    <row r="7" spans="1:5" ht="38.25" x14ac:dyDescent="0.25">
      <c r="A7" s="19" t="s">
        <v>2</v>
      </c>
      <c r="B7" s="19" t="s">
        <v>3</v>
      </c>
      <c r="C7" s="19" t="s">
        <v>4</v>
      </c>
      <c r="D7" s="19" t="s">
        <v>5</v>
      </c>
      <c r="E7" s="19" t="s">
        <v>6</v>
      </c>
    </row>
    <row r="8" spans="1:5" x14ac:dyDescent="0.25">
      <c r="A8" s="267" t="s">
        <v>158</v>
      </c>
      <c r="B8" s="268">
        <v>12</v>
      </c>
      <c r="C8" s="269">
        <v>7377.6383999999998</v>
      </c>
      <c r="D8" s="270">
        <v>1</v>
      </c>
      <c r="E8" s="271">
        <f>C8*D8</f>
        <v>7377.6383999999998</v>
      </c>
    </row>
    <row r="9" spans="1:5" x14ac:dyDescent="0.25">
      <c r="A9" s="267" t="s">
        <v>76</v>
      </c>
      <c r="B9" s="268">
        <v>12</v>
      </c>
      <c r="C9" s="269">
        <f>E9/D9</f>
        <v>3781.0096896000005</v>
      </c>
      <c r="D9" s="270">
        <v>4</v>
      </c>
      <c r="E9" s="271">
        <v>15124.038758400002</v>
      </c>
    </row>
    <row r="10" spans="1:5" x14ac:dyDescent="0.25">
      <c r="A10" s="267" t="s">
        <v>78</v>
      </c>
      <c r="B10" s="268">
        <v>12</v>
      </c>
      <c r="C10" s="269">
        <f t="shared" ref="C10" si="0">E10/D10</f>
        <v>3547.8643199999997</v>
      </c>
      <c r="D10" s="270">
        <v>1</v>
      </c>
      <c r="E10" s="271">
        <v>3547.8643199999997</v>
      </c>
    </row>
    <row r="11" spans="1:5" x14ac:dyDescent="0.25">
      <c r="A11" s="267"/>
      <c r="B11" s="268"/>
      <c r="C11" s="269"/>
      <c r="D11" s="272"/>
      <c r="E11" s="273">
        <f t="shared" ref="E11" si="1">C11*B11*D11</f>
        <v>0</v>
      </c>
    </row>
    <row r="12" spans="1:5" x14ac:dyDescent="0.25">
      <c r="A12" s="8" t="s">
        <v>7</v>
      </c>
      <c r="B12" s="274"/>
      <c r="C12" s="275"/>
      <c r="D12" s="9"/>
      <c r="E12" s="27">
        <f>SUM(E8:E11)</f>
        <v>26049.541478400002</v>
      </c>
    </row>
    <row r="13" spans="1:5" x14ac:dyDescent="0.25">
      <c r="A13" s="276" t="s">
        <v>8</v>
      </c>
      <c r="B13" s="277"/>
      <c r="C13" s="277"/>
      <c r="D13" s="26"/>
      <c r="E13" s="28">
        <f>E12*30%</f>
        <v>7814.8624435199999</v>
      </c>
    </row>
    <row r="14" spans="1:5" x14ac:dyDescent="0.25">
      <c r="A14" s="278"/>
      <c r="B14" s="279"/>
      <c r="C14" s="280"/>
      <c r="D14" s="7"/>
      <c r="E14" s="7"/>
    </row>
    <row r="15" spans="1:5" x14ac:dyDescent="0.25">
      <c r="A15" s="258"/>
      <c r="B15" s="258"/>
      <c r="C15" s="38"/>
      <c r="D15" s="38" t="s">
        <v>9</v>
      </c>
      <c r="E15" s="39">
        <f>E12+E13</f>
        <v>33864.403921920006</v>
      </c>
    </row>
    <row r="16" spans="1:5" x14ac:dyDescent="0.25">
      <c r="A16" s="258"/>
      <c r="B16" s="258"/>
      <c r="C16" s="258"/>
      <c r="D16" s="258"/>
      <c r="E16" s="258"/>
    </row>
    <row r="17" spans="1:5" x14ac:dyDescent="0.25">
      <c r="A17" s="14" t="s">
        <v>10</v>
      </c>
      <c r="B17" s="258"/>
      <c r="C17" s="258"/>
      <c r="D17" s="258"/>
    </row>
    <row r="18" spans="1:5" x14ac:dyDescent="0.25">
      <c r="A18" s="17" t="s">
        <v>11</v>
      </c>
      <c r="B18" s="17" t="s">
        <v>12</v>
      </c>
      <c r="C18" s="17" t="s">
        <v>13</v>
      </c>
      <c r="D18" s="281"/>
    </row>
    <row r="19" spans="1:5" x14ac:dyDescent="0.25">
      <c r="A19" s="33"/>
      <c r="B19" s="33"/>
      <c r="C19" s="33"/>
      <c r="D19" s="1"/>
    </row>
    <row r="20" spans="1:5" x14ac:dyDescent="0.25">
      <c r="A20" s="34" t="s">
        <v>14</v>
      </c>
      <c r="B20" s="282">
        <v>0.85</v>
      </c>
      <c r="C20" s="36">
        <f>E15*B20</f>
        <v>28784.743333632003</v>
      </c>
      <c r="D20" s="283"/>
      <c r="E20" s="258"/>
    </row>
    <row r="21" spans="1:5" x14ac:dyDescent="0.25">
      <c r="A21" s="258"/>
      <c r="B21" s="281"/>
      <c r="C21" s="258"/>
      <c r="D21" s="258"/>
      <c r="E21" s="258"/>
    </row>
    <row r="22" spans="1:5" x14ac:dyDescent="0.25">
      <c r="A22" s="284"/>
      <c r="B22" s="258"/>
      <c r="C22" s="285"/>
      <c r="D22" s="40" t="s">
        <v>15</v>
      </c>
      <c r="E22" s="41">
        <f>E15+C20</f>
        <v>62649.147255552009</v>
      </c>
    </row>
    <row r="23" spans="1:5" x14ac:dyDescent="0.25">
      <c r="A23" s="14" t="s">
        <v>16</v>
      </c>
      <c r="B23" s="258"/>
      <c r="C23" s="258"/>
      <c r="D23" s="258"/>
      <c r="E23" s="258"/>
    </row>
    <row r="24" spans="1:5" ht="25.5" x14ac:dyDescent="0.25">
      <c r="A24" s="19" t="s">
        <v>17</v>
      </c>
      <c r="B24" s="19" t="s">
        <v>18</v>
      </c>
      <c r="C24" s="19" t="s">
        <v>19</v>
      </c>
      <c r="D24" s="35" t="s">
        <v>20</v>
      </c>
      <c r="E24" s="258"/>
    </row>
    <row r="25" spans="1:5" x14ac:dyDescent="0.25">
      <c r="A25" s="246" t="s">
        <v>159</v>
      </c>
      <c r="B25" s="223">
        <v>1</v>
      </c>
      <c r="C25" s="247">
        <v>1600</v>
      </c>
      <c r="D25" s="248">
        <f>C25*B25</f>
        <v>1600</v>
      </c>
      <c r="E25" s="258"/>
    </row>
    <row r="26" spans="1:5" x14ac:dyDescent="0.25">
      <c r="A26" s="246" t="s">
        <v>113</v>
      </c>
      <c r="B26" s="223">
        <v>2</v>
      </c>
      <c r="C26" s="247">
        <v>2200</v>
      </c>
      <c r="D26" s="248">
        <f t="shared" ref="D26:D31" si="2">C26*B26</f>
        <v>4400</v>
      </c>
      <c r="E26" s="258"/>
    </row>
    <row r="27" spans="1:5" x14ac:dyDescent="0.25">
      <c r="A27" s="246" t="s">
        <v>114</v>
      </c>
      <c r="B27" s="223">
        <v>10</v>
      </c>
      <c r="C27" s="247">
        <v>600</v>
      </c>
      <c r="D27" s="248">
        <f t="shared" si="2"/>
        <v>6000</v>
      </c>
      <c r="E27" s="258"/>
    </row>
    <row r="28" spans="1:5" x14ac:dyDescent="0.25">
      <c r="A28" s="246" t="s">
        <v>117</v>
      </c>
      <c r="B28" s="223">
        <v>2</v>
      </c>
      <c r="C28" s="247">
        <f>250*1.2</f>
        <v>300</v>
      </c>
      <c r="D28" s="248">
        <f t="shared" si="2"/>
        <v>600</v>
      </c>
      <c r="E28" s="258"/>
    </row>
    <row r="29" spans="1:5" x14ac:dyDescent="0.25">
      <c r="A29" s="246" t="s">
        <v>121</v>
      </c>
      <c r="B29" s="223">
        <v>4</v>
      </c>
      <c r="C29" s="247">
        <v>800</v>
      </c>
      <c r="D29" s="248">
        <f t="shared" si="2"/>
        <v>3200</v>
      </c>
      <c r="E29" s="258"/>
    </row>
    <row r="30" spans="1:5" x14ac:dyDescent="0.25">
      <c r="A30" s="246" t="s">
        <v>160</v>
      </c>
      <c r="B30" s="223">
        <v>8</v>
      </c>
      <c r="C30" s="247">
        <f>128.4*1.2</f>
        <v>154.08000000000001</v>
      </c>
      <c r="D30" s="248">
        <f t="shared" si="2"/>
        <v>1232.6400000000001</v>
      </c>
      <c r="E30" s="258"/>
    </row>
    <row r="31" spans="1:5" x14ac:dyDescent="0.25">
      <c r="A31" s="286" t="s">
        <v>161</v>
      </c>
      <c r="B31" s="287">
        <v>1</v>
      </c>
      <c r="C31" s="247">
        <v>240</v>
      </c>
      <c r="D31" s="248">
        <f t="shared" si="2"/>
        <v>240</v>
      </c>
    </row>
    <row r="32" spans="1:5" x14ac:dyDescent="0.25">
      <c r="A32" s="288"/>
      <c r="B32" s="258"/>
      <c r="C32" s="22" t="s">
        <v>21</v>
      </c>
      <c r="D32" s="29">
        <f>SUM(D25:D31)</f>
        <v>17272.64</v>
      </c>
    </row>
    <row r="33" spans="1:5" x14ac:dyDescent="0.25">
      <c r="A33" s="14" t="s">
        <v>22</v>
      </c>
      <c r="B33" s="258"/>
      <c r="C33" s="258"/>
      <c r="D33" s="258"/>
    </row>
    <row r="34" spans="1:5" ht="25.5" x14ac:dyDescent="0.25">
      <c r="A34" s="17" t="s">
        <v>17</v>
      </c>
      <c r="B34" s="18" t="s">
        <v>18</v>
      </c>
      <c r="C34" s="17" t="s">
        <v>19</v>
      </c>
      <c r="D34" s="35" t="s">
        <v>20</v>
      </c>
    </row>
    <row r="35" spans="1:5" x14ac:dyDescent="0.25">
      <c r="A35" s="289" t="s">
        <v>23</v>
      </c>
      <c r="B35" s="290" t="s">
        <v>105</v>
      </c>
      <c r="C35" s="247">
        <v>3000</v>
      </c>
      <c r="D35" s="291">
        <f>C35</f>
        <v>3000</v>
      </c>
    </row>
    <row r="36" spans="1:5" x14ac:dyDescent="0.25">
      <c r="A36" s="292" t="s">
        <v>24</v>
      </c>
      <c r="B36" s="223" t="s">
        <v>105</v>
      </c>
      <c r="C36" s="247">
        <v>3500</v>
      </c>
      <c r="D36" s="293">
        <f>C36</f>
        <v>3500</v>
      </c>
    </row>
    <row r="37" spans="1:5" x14ac:dyDescent="0.25">
      <c r="A37" s="294" t="s">
        <v>119</v>
      </c>
      <c r="B37" s="287" t="s">
        <v>105</v>
      </c>
      <c r="C37" s="247">
        <v>5000</v>
      </c>
      <c r="D37" s="248">
        <f>C37</f>
        <v>5000</v>
      </c>
    </row>
    <row r="38" spans="1:5" x14ac:dyDescent="0.25">
      <c r="A38" s="288"/>
      <c r="B38" s="258"/>
      <c r="C38" s="22" t="s">
        <v>25</v>
      </c>
      <c r="D38" s="29">
        <f>SUM(D35:D37)</f>
        <v>11500</v>
      </c>
    </row>
    <row r="39" spans="1:5" x14ac:dyDescent="0.25">
      <c r="A39" s="14" t="s">
        <v>26</v>
      </c>
      <c r="B39" s="258"/>
      <c r="C39" s="258"/>
      <c r="D39" s="258"/>
    </row>
    <row r="40" spans="1:5" ht="25.5" x14ac:dyDescent="0.25">
      <c r="A40" s="19" t="s">
        <v>17</v>
      </c>
      <c r="B40" s="19" t="s">
        <v>27</v>
      </c>
      <c r="C40" s="19" t="s">
        <v>28</v>
      </c>
      <c r="D40" s="35" t="s">
        <v>20</v>
      </c>
    </row>
    <row r="41" spans="1:5" x14ac:dyDescent="0.25">
      <c r="A41" s="249" t="s">
        <v>29</v>
      </c>
      <c r="B41" s="261">
        <v>6</v>
      </c>
      <c r="C41" s="247">
        <v>600</v>
      </c>
      <c r="D41" s="262">
        <f>C41*B41+(750*2)</f>
        <v>5100</v>
      </c>
      <c r="E41" s="1"/>
    </row>
    <row r="42" spans="1:5" x14ac:dyDescent="0.25">
      <c r="A42" s="249" t="s">
        <v>162</v>
      </c>
      <c r="B42" s="261" t="s">
        <v>105</v>
      </c>
      <c r="C42" s="247">
        <v>2500</v>
      </c>
      <c r="D42" s="262">
        <f>C42</f>
        <v>2500</v>
      </c>
      <c r="E42" s="1"/>
    </row>
    <row r="43" spans="1:5" x14ac:dyDescent="0.25">
      <c r="A43" s="249" t="s">
        <v>103</v>
      </c>
      <c r="B43" s="261">
        <v>6</v>
      </c>
      <c r="C43" s="247">
        <v>500</v>
      </c>
      <c r="D43" s="262">
        <f t="shared" ref="D43:D47" si="3">C43*B43</f>
        <v>3000</v>
      </c>
      <c r="E43" s="1"/>
    </row>
    <row r="44" spans="1:5" x14ac:dyDescent="0.25">
      <c r="A44" s="249" t="s">
        <v>104</v>
      </c>
      <c r="B44" s="261">
        <v>6</v>
      </c>
      <c r="C44" s="247">
        <f>40.1*1.2</f>
        <v>48.12</v>
      </c>
      <c r="D44" s="262">
        <f t="shared" si="3"/>
        <v>288.71999999999997</v>
      </c>
      <c r="E44" s="1"/>
    </row>
    <row r="45" spans="1:5" x14ac:dyDescent="0.25">
      <c r="A45" s="249" t="s">
        <v>163</v>
      </c>
      <c r="B45" s="261" t="s">
        <v>105</v>
      </c>
      <c r="C45" s="247">
        <f>(6*2*100)</f>
        <v>1200</v>
      </c>
      <c r="D45" s="262">
        <f t="shared" ref="D45" si="4">C45</f>
        <v>1200</v>
      </c>
      <c r="E45" s="1"/>
    </row>
    <row r="46" spans="1:5" x14ac:dyDescent="0.25">
      <c r="A46" s="249" t="s">
        <v>144</v>
      </c>
      <c r="B46" s="261" t="s">
        <v>147</v>
      </c>
      <c r="C46" s="247">
        <f>(6*520)</f>
        <v>3120</v>
      </c>
      <c r="D46" s="262">
        <f>C46</f>
        <v>3120</v>
      </c>
      <c r="E46" s="1"/>
    </row>
    <row r="47" spans="1:5" x14ac:dyDescent="0.25">
      <c r="A47" s="249" t="s">
        <v>106</v>
      </c>
      <c r="B47" s="261">
        <v>6</v>
      </c>
      <c r="C47" s="247">
        <f>452*1.04</f>
        <v>470.08000000000004</v>
      </c>
      <c r="D47" s="262">
        <f t="shared" si="3"/>
        <v>2820.4800000000005</v>
      </c>
      <c r="E47" s="1"/>
    </row>
    <row r="48" spans="1:5" x14ac:dyDescent="0.25">
      <c r="A48" s="249" t="s">
        <v>107</v>
      </c>
      <c r="B48" s="261" t="s">
        <v>105</v>
      </c>
      <c r="C48" s="247">
        <f>6*2*20*4</f>
        <v>960</v>
      </c>
      <c r="D48" s="262">
        <f t="shared" ref="D48" si="5">C48</f>
        <v>960</v>
      </c>
      <c r="E48" s="1"/>
    </row>
    <row r="49" spans="1:8" x14ac:dyDescent="0.25">
      <c r="A49" s="249" t="s">
        <v>164</v>
      </c>
      <c r="B49" s="261" t="s">
        <v>105</v>
      </c>
      <c r="C49" s="247">
        <v>4254</v>
      </c>
      <c r="D49" s="262">
        <f>C49</f>
        <v>4254</v>
      </c>
      <c r="E49" s="1"/>
    </row>
    <row r="50" spans="1:8" x14ac:dyDescent="0.25">
      <c r="A50" s="249" t="s">
        <v>165</v>
      </c>
      <c r="B50" s="261" t="s">
        <v>105</v>
      </c>
      <c r="C50" s="247">
        <v>10000</v>
      </c>
      <c r="D50" s="262">
        <f t="shared" ref="D50:D51" si="6">C50</f>
        <v>10000</v>
      </c>
      <c r="E50" s="1"/>
    </row>
    <row r="51" spans="1:8" x14ac:dyDescent="0.25">
      <c r="A51" s="295" t="s">
        <v>166</v>
      </c>
      <c r="B51" s="261" t="s">
        <v>105</v>
      </c>
      <c r="C51" s="247">
        <v>8000</v>
      </c>
      <c r="D51" s="262">
        <f t="shared" si="6"/>
        <v>8000</v>
      </c>
      <c r="E51" s="1"/>
    </row>
    <row r="52" spans="1:8" x14ac:dyDescent="0.25">
      <c r="A52" s="1"/>
      <c r="B52" s="24" t="s">
        <v>30</v>
      </c>
      <c r="C52" s="296"/>
      <c r="D52" s="29">
        <f>SUM(D41:D51)</f>
        <v>41243.199999999997</v>
      </c>
      <c r="E52" s="1"/>
    </row>
    <row r="53" spans="1:8" x14ac:dyDescent="0.25">
      <c r="A53" s="1"/>
      <c r="B53" s="1"/>
      <c r="C53" s="1"/>
      <c r="D53" s="1"/>
      <c r="E53" s="1"/>
    </row>
    <row r="54" spans="1:8" x14ac:dyDescent="0.25">
      <c r="A54" s="1"/>
      <c r="B54" s="43" t="s">
        <v>31</v>
      </c>
      <c r="C54" s="44"/>
      <c r="D54" s="45"/>
      <c r="E54" s="46">
        <f>E22+D32+D38+D52</f>
        <v>132664.98725555203</v>
      </c>
    </row>
    <row r="55" spans="1:8" x14ac:dyDescent="0.25">
      <c r="A55" s="263" t="s">
        <v>32</v>
      </c>
      <c r="B55" s="23"/>
      <c r="C55" s="23"/>
      <c r="D55" s="23"/>
      <c r="E55" s="23"/>
    </row>
    <row r="56" spans="1:8" x14ac:dyDescent="0.25">
      <c r="A56" s="258"/>
      <c r="B56" s="258"/>
      <c r="C56" s="258"/>
      <c r="D56" s="258"/>
      <c r="E56" s="258"/>
    </row>
    <row r="57" spans="1:8" ht="38.25" x14ac:dyDescent="0.25">
      <c r="A57" s="19" t="s">
        <v>17</v>
      </c>
      <c r="B57" s="19" t="s">
        <v>167</v>
      </c>
      <c r="C57" s="19" t="s">
        <v>33</v>
      </c>
      <c r="D57" s="35" t="s">
        <v>20</v>
      </c>
      <c r="E57" s="258"/>
    </row>
    <row r="58" spans="1:8" x14ac:dyDescent="0.25">
      <c r="A58" s="249" t="s">
        <v>136</v>
      </c>
      <c r="B58" s="224">
        <v>0.08</v>
      </c>
      <c r="C58" s="250">
        <f>B58*E54</f>
        <v>10613.198980444162</v>
      </c>
      <c r="D58" s="250">
        <f>C58</f>
        <v>10613.198980444162</v>
      </c>
      <c r="E58" s="258"/>
      <c r="H58" s="297"/>
    </row>
    <row r="59" spans="1:8" x14ac:dyDescent="0.25">
      <c r="A59" s="249" t="s">
        <v>137</v>
      </c>
      <c r="B59" s="225">
        <v>0.01</v>
      </c>
      <c r="C59" s="251">
        <f>B59*E54</f>
        <v>1326.6498725555202</v>
      </c>
      <c r="D59" s="251">
        <f>C59</f>
        <v>1326.6498725555202</v>
      </c>
      <c r="E59" s="258"/>
    </row>
    <row r="60" spans="1:8" x14ac:dyDescent="0.25">
      <c r="A60" s="252" t="s">
        <v>138</v>
      </c>
      <c r="B60" s="226">
        <v>0.08</v>
      </c>
      <c r="C60" s="253">
        <f>B60*E54</f>
        <v>10613.198980444162</v>
      </c>
      <c r="D60" s="251">
        <f>C60</f>
        <v>10613.198980444162</v>
      </c>
      <c r="E60" s="258"/>
    </row>
    <row r="61" spans="1:8" x14ac:dyDescent="0.25">
      <c r="A61" s="295"/>
      <c r="B61" s="227"/>
      <c r="C61" s="298">
        <v>0</v>
      </c>
      <c r="D61" s="298">
        <v>0</v>
      </c>
      <c r="E61" s="258"/>
    </row>
    <row r="62" spans="1:8" x14ac:dyDescent="0.25">
      <c r="A62" s="5"/>
      <c r="B62" s="5"/>
      <c r="C62" s="25" t="s">
        <v>34</v>
      </c>
      <c r="D62" s="29">
        <f>SUM(D58:D61)</f>
        <v>22553.047833443845</v>
      </c>
      <c r="E62" s="258"/>
    </row>
    <row r="63" spans="1:8" x14ac:dyDescent="0.25">
      <c r="A63" s="258"/>
      <c r="B63" s="258"/>
      <c r="C63" s="258"/>
      <c r="D63" s="258"/>
      <c r="E63" s="258"/>
    </row>
    <row r="64" spans="1:8" x14ac:dyDescent="0.25">
      <c r="A64" s="263" t="s">
        <v>35</v>
      </c>
      <c r="B64" s="23"/>
      <c r="C64" s="23"/>
      <c r="D64" s="23"/>
      <c r="E64" s="23"/>
    </row>
    <row r="65" spans="1:5" x14ac:dyDescent="0.25">
      <c r="A65" s="258"/>
      <c r="B65" s="258"/>
      <c r="C65" s="258"/>
      <c r="D65" s="258"/>
      <c r="E65" s="258"/>
    </row>
    <row r="66" spans="1:5" ht="25.5" x14ac:dyDescent="0.25">
      <c r="A66" s="19" t="s">
        <v>17</v>
      </c>
      <c r="B66" s="19" t="s">
        <v>36</v>
      </c>
      <c r="C66" s="19" t="s">
        <v>33</v>
      </c>
      <c r="D66" s="35" t="s">
        <v>20</v>
      </c>
      <c r="E66" s="258"/>
    </row>
    <row r="67" spans="1:5" x14ac:dyDescent="0.25">
      <c r="A67" s="254" t="s">
        <v>139</v>
      </c>
      <c r="B67" s="224">
        <v>7.6799999999999993E-2</v>
      </c>
      <c r="C67" s="250">
        <f>B67*(E54+D62)</f>
        <v>11920.745094834883</v>
      </c>
      <c r="D67" s="250">
        <f>C67</f>
        <v>11920.745094834883</v>
      </c>
      <c r="E67" s="258"/>
    </row>
    <row r="68" spans="1:5" x14ac:dyDescent="0.25">
      <c r="A68" s="249"/>
      <c r="B68" s="225"/>
      <c r="C68" s="251">
        <v>0</v>
      </c>
      <c r="D68" s="251">
        <v>0</v>
      </c>
      <c r="E68" s="258"/>
    </row>
    <row r="69" spans="1:5" x14ac:dyDescent="0.25">
      <c r="A69" s="299"/>
      <c r="B69" s="228"/>
      <c r="C69" s="300">
        <v>0</v>
      </c>
      <c r="D69" s="300">
        <v>0</v>
      </c>
      <c r="E69" s="258"/>
    </row>
    <row r="70" spans="1:5" x14ac:dyDescent="0.25">
      <c r="A70" s="5"/>
      <c r="B70" s="24" t="s">
        <v>37</v>
      </c>
      <c r="C70" s="296"/>
      <c r="D70" s="29">
        <f>SUM(D67:D69)</f>
        <v>11920.745094834883</v>
      </c>
      <c r="E70" s="258"/>
    </row>
    <row r="71" spans="1:5" x14ac:dyDescent="0.25">
      <c r="A71" s="258"/>
      <c r="B71" s="258"/>
      <c r="C71" s="258"/>
      <c r="D71" s="258"/>
      <c r="E71" s="258"/>
    </row>
    <row r="72" spans="1:5" x14ac:dyDescent="0.25">
      <c r="A72" s="263" t="s">
        <v>38</v>
      </c>
      <c r="B72" s="23"/>
      <c r="C72" s="23"/>
      <c r="D72" s="23"/>
      <c r="E72" s="23"/>
    </row>
    <row r="73" spans="1:5" x14ac:dyDescent="0.25">
      <c r="A73" s="258"/>
      <c r="B73" s="258"/>
      <c r="C73" s="258"/>
      <c r="D73" s="258"/>
      <c r="E73" s="258"/>
    </row>
    <row r="74" spans="1:5" x14ac:dyDescent="0.25">
      <c r="A74" s="2" t="s">
        <v>39</v>
      </c>
      <c r="B74" s="3"/>
      <c r="C74" s="3"/>
      <c r="D74" s="4"/>
      <c r="E74" s="30">
        <f>E54+D62+D70</f>
        <v>167138.78018383076</v>
      </c>
    </row>
    <row r="75" spans="1:5" x14ac:dyDescent="0.25">
      <c r="A75" s="258"/>
      <c r="B75" s="258"/>
      <c r="C75" s="258"/>
      <c r="D75" s="258"/>
      <c r="E75" s="258"/>
    </row>
    <row r="76" spans="1:5" x14ac:dyDescent="0.25">
      <c r="A76" s="263" t="s">
        <v>40</v>
      </c>
      <c r="B76" s="23"/>
      <c r="C76" s="23"/>
      <c r="D76" s="23"/>
      <c r="E76" s="37"/>
    </row>
    <row r="77" spans="1:5" x14ac:dyDescent="0.25">
      <c r="A77" s="258"/>
      <c r="B77" s="258"/>
      <c r="C77" s="258"/>
      <c r="D77" s="258"/>
      <c r="E77" s="258"/>
    </row>
    <row r="78" spans="1:5" x14ac:dyDescent="0.25">
      <c r="A78" s="19" t="s">
        <v>17</v>
      </c>
      <c r="B78" s="19" t="s">
        <v>36</v>
      </c>
      <c r="C78" s="258"/>
      <c r="D78" s="258"/>
      <c r="E78" s="258"/>
    </row>
    <row r="79" spans="1:5" x14ac:dyDescent="0.25">
      <c r="A79" s="255" t="s">
        <v>41</v>
      </c>
      <c r="B79" s="224">
        <v>0.05</v>
      </c>
      <c r="C79" s="258"/>
      <c r="D79" s="258"/>
      <c r="E79" s="258"/>
    </row>
    <row r="80" spans="1:5" x14ac:dyDescent="0.25">
      <c r="A80" s="256" t="s">
        <v>42</v>
      </c>
      <c r="B80" s="225">
        <v>6.4999999999999997E-3</v>
      </c>
      <c r="C80" s="258"/>
      <c r="D80" s="258"/>
      <c r="E80" s="301"/>
    </row>
    <row r="81" spans="1:6" x14ac:dyDescent="0.25">
      <c r="A81" s="257" t="s">
        <v>43</v>
      </c>
      <c r="B81" s="228">
        <v>0.03</v>
      </c>
      <c r="C81" s="258"/>
      <c r="D81" s="258"/>
      <c r="E81" s="258"/>
    </row>
    <row r="82" spans="1:6" x14ac:dyDescent="0.25">
      <c r="A82" s="258"/>
      <c r="B82" s="259"/>
      <c r="C82" s="258"/>
      <c r="D82" s="258"/>
      <c r="E82" s="258"/>
    </row>
    <row r="83" spans="1:6" ht="27.75" customHeight="1" x14ac:dyDescent="0.25">
      <c r="A83" s="6" t="s">
        <v>44</v>
      </c>
      <c r="B83" s="31">
        <f>SUM(B79:B81)</f>
        <v>8.6499999999999994E-2</v>
      </c>
      <c r="C83" s="258"/>
      <c r="D83" s="258"/>
      <c r="E83" s="302"/>
    </row>
    <row r="84" spans="1:6" x14ac:dyDescent="0.25">
      <c r="A84" s="258"/>
      <c r="B84" s="258"/>
      <c r="C84" s="258"/>
      <c r="D84" s="258"/>
      <c r="E84" s="258"/>
    </row>
    <row r="85" spans="1:6" x14ac:dyDescent="0.25">
      <c r="A85" s="303" t="s">
        <v>45</v>
      </c>
      <c r="B85" s="304"/>
      <c r="C85" s="304"/>
      <c r="D85" s="305"/>
      <c r="E85" s="260">
        <f>E74*1.0865</f>
        <v>181596.28466973212</v>
      </c>
    </row>
    <row r="86" spans="1:6" x14ac:dyDescent="0.25">
      <c r="A86" s="279"/>
      <c r="B86" s="258"/>
      <c r="C86" s="258"/>
      <c r="D86" s="258"/>
      <c r="E86" s="258"/>
    </row>
    <row r="87" spans="1:6" x14ac:dyDescent="0.25">
      <c r="A87" s="263" t="s">
        <v>168</v>
      </c>
      <c r="B87" s="23"/>
      <c r="C87" s="23"/>
      <c r="D87" s="23"/>
      <c r="E87" s="23"/>
    </row>
    <row r="88" spans="1:6" x14ac:dyDescent="0.25">
      <c r="A88" s="306"/>
      <c r="B88" s="307"/>
      <c r="C88" s="307"/>
      <c r="D88" s="307"/>
      <c r="E88" s="307"/>
      <c r="F88" s="181"/>
    </row>
    <row r="89" spans="1:6" ht="25.5" x14ac:dyDescent="0.25">
      <c r="A89" s="19" t="s">
        <v>17</v>
      </c>
      <c r="B89" s="19" t="s">
        <v>27</v>
      </c>
      <c r="C89" s="19" t="s">
        <v>28</v>
      </c>
      <c r="D89" s="35" t="s">
        <v>20</v>
      </c>
      <c r="E89" s="308"/>
    </row>
    <row r="90" spans="1:6" ht="15.75" x14ac:dyDescent="0.25">
      <c r="A90" s="309" t="s">
        <v>169</v>
      </c>
      <c r="B90" s="261" t="s">
        <v>105</v>
      </c>
      <c r="C90" s="247">
        <f>97.67%*E15</f>
        <v>33075.363310539273</v>
      </c>
      <c r="D90" s="251">
        <f>C90</f>
        <v>33075.363310539273</v>
      </c>
      <c r="E90" s="308"/>
    </row>
    <row r="91" spans="1:6" ht="15.75" x14ac:dyDescent="0.25">
      <c r="A91" s="295" t="s">
        <v>148</v>
      </c>
      <c r="B91" s="310" t="s">
        <v>105</v>
      </c>
      <c r="C91" s="311">
        <v>11472.905600000002</v>
      </c>
      <c r="D91" s="298">
        <f>C91</f>
        <v>11472.905600000002</v>
      </c>
      <c r="E91" s="308"/>
    </row>
    <row r="92" spans="1:6" x14ac:dyDescent="0.25">
      <c r="B92" s="258"/>
      <c r="C92" s="258"/>
      <c r="D92" s="312">
        <f>SUM(D90:D91)</f>
        <v>44548.268910539278</v>
      </c>
      <c r="E92" s="258"/>
    </row>
    <row r="93" spans="1:6" x14ac:dyDescent="0.25">
      <c r="A93" s="42"/>
      <c r="B93" s="258"/>
      <c r="C93" s="258"/>
      <c r="D93" s="258"/>
      <c r="E93" s="258"/>
    </row>
    <row r="94" spans="1:6" x14ac:dyDescent="0.25">
      <c r="A94" s="263" t="s">
        <v>170</v>
      </c>
      <c r="B94" s="23"/>
      <c r="C94" s="23"/>
      <c r="D94" s="23"/>
      <c r="E94" s="23"/>
    </row>
    <row r="95" spans="1:6" x14ac:dyDescent="0.25">
      <c r="A95" s="258"/>
      <c r="B95" s="258"/>
      <c r="C95" s="258"/>
      <c r="D95" s="258"/>
      <c r="E95" s="258"/>
    </row>
    <row r="96" spans="1:6" x14ac:dyDescent="0.25">
      <c r="A96" s="19" t="s">
        <v>17</v>
      </c>
      <c r="B96" s="19" t="s">
        <v>36</v>
      </c>
      <c r="C96" s="258"/>
      <c r="D96" s="258"/>
      <c r="E96" s="258"/>
    </row>
    <row r="97" spans="1:5" x14ac:dyDescent="0.25">
      <c r="A97" s="255" t="s">
        <v>41</v>
      </c>
      <c r="B97" s="224">
        <v>0.05</v>
      </c>
      <c r="C97" s="258"/>
      <c r="D97" s="258"/>
      <c r="E97" s="258"/>
    </row>
    <row r="98" spans="1:5" x14ac:dyDescent="0.25">
      <c r="A98" s="256" t="s">
        <v>42</v>
      </c>
      <c r="B98" s="225">
        <v>6.4999999999999997E-3</v>
      </c>
      <c r="C98" s="258"/>
      <c r="D98" s="258"/>
      <c r="E98" s="301"/>
    </row>
    <row r="99" spans="1:5" x14ac:dyDescent="0.25">
      <c r="A99" s="256" t="s">
        <v>43</v>
      </c>
      <c r="B99" s="225">
        <v>0.03</v>
      </c>
      <c r="C99" s="258"/>
      <c r="D99" s="258"/>
      <c r="E99" s="258"/>
    </row>
    <row r="100" spans="1:5" x14ac:dyDescent="0.25">
      <c r="A100" s="294" t="s">
        <v>139</v>
      </c>
      <c r="B100" s="227">
        <v>7.6799999999999993E-2</v>
      </c>
      <c r="C100" s="258"/>
      <c r="D100" s="258"/>
      <c r="E100" s="258"/>
    </row>
    <row r="101" spans="1:5" x14ac:dyDescent="0.25">
      <c r="A101" s="258"/>
      <c r="B101" s="259"/>
      <c r="C101" s="258"/>
      <c r="D101" s="258"/>
      <c r="E101" s="258"/>
    </row>
    <row r="102" spans="1:5" x14ac:dyDescent="0.25">
      <c r="A102" s="6" t="s">
        <v>44</v>
      </c>
      <c r="B102" s="31">
        <f>SUM(B97:B100)</f>
        <v>0.1633</v>
      </c>
      <c r="C102" s="258"/>
      <c r="D102" s="258"/>
      <c r="E102" s="302"/>
    </row>
    <row r="103" spans="1:5" x14ac:dyDescent="0.25">
      <c r="A103" s="258"/>
      <c r="B103" s="258"/>
      <c r="C103" s="258"/>
      <c r="D103" s="258"/>
      <c r="E103" s="258"/>
    </row>
    <row r="104" spans="1:5" x14ac:dyDescent="0.25">
      <c r="A104" s="303" t="s">
        <v>171</v>
      </c>
      <c r="B104" s="304"/>
      <c r="C104" s="304"/>
      <c r="D104" s="305"/>
      <c r="E104" s="260">
        <f>D92*1.1633</f>
        <v>51823.001223630345</v>
      </c>
    </row>
    <row r="105" spans="1:5" x14ac:dyDescent="0.25">
      <c r="A105" s="279"/>
      <c r="B105" s="258"/>
      <c r="C105" s="258"/>
      <c r="D105" s="258"/>
      <c r="E105" s="258"/>
    </row>
    <row r="106" spans="1:5" ht="15.75" x14ac:dyDescent="0.25">
      <c r="A106" s="20" t="s">
        <v>172</v>
      </c>
      <c r="B106" s="313"/>
      <c r="C106" s="313"/>
      <c r="D106" s="314"/>
      <c r="E106" s="32">
        <f>E104+E85</f>
        <v>233419.28589336248</v>
      </c>
    </row>
    <row r="107" spans="1:5" x14ac:dyDescent="0.25">
      <c r="A107" s="42" t="s">
        <v>46</v>
      </c>
      <c r="B107" s="258"/>
      <c r="C107" s="258"/>
      <c r="D107" s="258"/>
      <c r="E107" s="258"/>
    </row>
    <row r="108" spans="1:5" x14ac:dyDescent="0.25">
      <c r="A108" s="10" t="s">
        <v>47</v>
      </c>
      <c r="B108" s="1"/>
      <c r="C108" s="1"/>
      <c r="D108" s="1"/>
      <c r="E108" s="1"/>
    </row>
    <row r="109" spans="1:5" x14ac:dyDescent="0.25">
      <c r="A109" s="11" t="s">
        <v>48</v>
      </c>
      <c r="B109" s="258"/>
      <c r="C109" s="258"/>
      <c r="D109" s="258"/>
      <c r="E109" s="258"/>
    </row>
    <row r="110" spans="1:5" x14ac:dyDescent="0.25">
      <c r="A110" s="11" t="s">
        <v>49</v>
      </c>
      <c r="B110" s="258"/>
      <c r="C110" s="258"/>
      <c r="D110" s="258"/>
      <c r="E110" s="258"/>
    </row>
    <row r="111" spans="1:5" x14ac:dyDescent="0.25">
      <c r="A111" s="11" t="s">
        <v>50</v>
      </c>
    </row>
    <row r="112" spans="1:5" x14ac:dyDescent="0.25">
      <c r="A112" s="11" t="s">
        <v>51</v>
      </c>
    </row>
    <row r="113" spans="1:1" x14ac:dyDescent="0.25">
      <c r="A113" s="11" t="s">
        <v>52</v>
      </c>
    </row>
    <row r="114" spans="1:1" x14ac:dyDescent="0.25">
      <c r="A114" s="11" t="s">
        <v>53</v>
      </c>
    </row>
    <row r="115" spans="1:1" x14ac:dyDescent="0.25">
      <c r="A115" s="10" t="s">
        <v>54</v>
      </c>
    </row>
    <row r="116" spans="1:1" x14ac:dyDescent="0.25">
      <c r="A116" s="11" t="s">
        <v>55</v>
      </c>
    </row>
    <row r="117" spans="1:1" x14ac:dyDescent="0.25">
      <c r="A117" s="11" t="s">
        <v>56</v>
      </c>
    </row>
    <row r="118" spans="1:1" x14ac:dyDescent="0.25">
      <c r="A118" s="13">
        <v>2</v>
      </c>
    </row>
    <row r="119" spans="1:1" x14ac:dyDescent="0.25">
      <c r="A119" s="11" t="s">
        <v>57</v>
      </c>
    </row>
    <row r="120" spans="1:1" x14ac:dyDescent="0.25">
      <c r="A120" s="13">
        <v>3</v>
      </c>
    </row>
    <row r="121" spans="1:1" x14ac:dyDescent="0.25">
      <c r="A121" s="11" t="s">
        <v>58</v>
      </c>
    </row>
    <row r="122" spans="1:1" x14ac:dyDescent="0.25">
      <c r="A122" s="13">
        <v>5</v>
      </c>
    </row>
    <row r="123" spans="1:1" x14ac:dyDescent="0.25">
      <c r="A123" s="11" t="s">
        <v>59</v>
      </c>
    </row>
    <row r="124" spans="1:1" x14ac:dyDescent="0.25">
      <c r="A124" s="11"/>
    </row>
    <row r="125" spans="1:1" x14ac:dyDescent="0.25">
      <c r="A125" s="12" t="s">
        <v>60</v>
      </c>
    </row>
    <row r="126" spans="1:1" x14ac:dyDescent="0.25">
      <c r="A126" s="258"/>
    </row>
    <row r="127" spans="1:1" x14ac:dyDescent="0.25">
      <c r="A127" s="15" t="s">
        <v>61</v>
      </c>
    </row>
  </sheetData>
  <mergeCells count="1">
    <mergeCell ref="A2:E2"/>
  </mergeCells>
  <pageMargins left="0.51181102362204722" right="0.51181102362204722" top="0.78740157480314965" bottom="0.78740157480314965" header="0.31496062992125984" footer="0.31496062992125984"/>
  <pageSetup paperSize="9" scale="64" orientation="portrait" r:id="rId1"/>
  <rowBreaks count="1" manualBreakCount="1">
    <brk id="54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32"/>
  <sheetViews>
    <sheetView showGridLines="0" view="pageBreakPreview" topLeftCell="A3" zoomScale="80" zoomScaleNormal="100" zoomScaleSheetLayoutView="80" workbookViewId="0">
      <selection activeCell="O15" sqref="O15"/>
    </sheetView>
  </sheetViews>
  <sheetFormatPr defaultColWidth="7.85546875" defaultRowHeight="15" x14ac:dyDescent="0.2"/>
  <cols>
    <col min="1" max="1" width="26.42578125" style="47" customWidth="1"/>
    <col min="2" max="2" width="12.28515625" style="47" customWidth="1"/>
    <col min="3" max="3" width="14.85546875" style="47" customWidth="1"/>
    <col min="4" max="4" width="14.42578125" style="47" customWidth="1"/>
    <col min="5" max="7" width="15.140625" style="47" customWidth="1"/>
    <col min="8" max="8" width="13.7109375" style="47" customWidth="1"/>
    <col min="9" max="9" width="16.28515625" style="47" customWidth="1"/>
    <col min="10" max="13" width="7.85546875" style="47"/>
    <col min="14" max="14" width="14.7109375" style="47" bestFit="1" customWidth="1"/>
    <col min="15" max="15" width="13.7109375" style="47" customWidth="1"/>
    <col min="16" max="256" width="7.85546875" style="47"/>
    <col min="257" max="257" width="26.42578125" style="47" customWidth="1"/>
    <col min="258" max="258" width="12.28515625" style="47" customWidth="1"/>
    <col min="259" max="259" width="14.85546875" style="47" customWidth="1"/>
    <col min="260" max="260" width="14.42578125" style="47" customWidth="1"/>
    <col min="261" max="263" width="15.140625" style="47" customWidth="1"/>
    <col min="264" max="264" width="13.7109375" style="47" customWidth="1"/>
    <col min="265" max="265" width="16.28515625" style="47" customWidth="1"/>
    <col min="266" max="269" width="7.85546875" style="47"/>
    <col min="270" max="270" width="14.7109375" style="47" bestFit="1" customWidth="1"/>
    <col min="271" max="512" width="7.85546875" style="47"/>
    <col min="513" max="513" width="26.42578125" style="47" customWidth="1"/>
    <col min="514" max="514" width="12.28515625" style="47" customWidth="1"/>
    <col min="515" max="515" width="14.85546875" style="47" customWidth="1"/>
    <col min="516" max="516" width="14.42578125" style="47" customWidth="1"/>
    <col min="517" max="519" width="15.140625" style="47" customWidth="1"/>
    <col min="520" max="520" width="13.7109375" style="47" customWidth="1"/>
    <col min="521" max="521" width="16.28515625" style="47" customWidth="1"/>
    <col min="522" max="525" width="7.85546875" style="47"/>
    <col min="526" max="526" width="14.7109375" style="47" bestFit="1" customWidth="1"/>
    <col min="527" max="768" width="7.85546875" style="47"/>
    <col min="769" max="769" width="26.42578125" style="47" customWidth="1"/>
    <col min="770" max="770" width="12.28515625" style="47" customWidth="1"/>
    <col min="771" max="771" width="14.85546875" style="47" customWidth="1"/>
    <col min="772" max="772" width="14.42578125" style="47" customWidth="1"/>
    <col min="773" max="775" width="15.140625" style="47" customWidth="1"/>
    <col min="776" max="776" width="13.7109375" style="47" customWidth="1"/>
    <col min="777" max="777" width="16.28515625" style="47" customWidth="1"/>
    <col min="778" max="781" width="7.85546875" style="47"/>
    <col min="782" max="782" width="14.7109375" style="47" bestFit="1" customWidth="1"/>
    <col min="783" max="1024" width="7.85546875" style="47"/>
    <col min="1025" max="1025" width="26.42578125" style="47" customWidth="1"/>
    <col min="1026" max="1026" width="12.28515625" style="47" customWidth="1"/>
    <col min="1027" max="1027" width="14.85546875" style="47" customWidth="1"/>
    <col min="1028" max="1028" width="14.42578125" style="47" customWidth="1"/>
    <col min="1029" max="1031" width="15.140625" style="47" customWidth="1"/>
    <col min="1032" max="1032" width="13.7109375" style="47" customWidth="1"/>
    <col min="1033" max="1033" width="16.28515625" style="47" customWidth="1"/>
    <col min="1034" max="1037" width="7.85546875" style="47"/>
    <col min="1038" max="1038" width="14.7109375" style="47" bestFit="1" customWidth="1"/>
    <col min="1039" max="1280" width="7.85546875" style="47"/>
    <col min="1281" max="1281" width="26.42578125" style="47" customWidth="1"/>
    <col min="1282" max="1282" width="12.28515625" style="47" customWidth="1"/>
    <col min="1283" max="1283" width="14.85546875" style="47" customWidth="1"/>
    <col min="1284" max="1284" width="14.42578125" style="47" customWidth="1"/>
    <col min="1285" max="1287" width="15.140625" style="47" customWidth="1"/>
    <col min="1288" max="1288" width="13.7109375" style="47" customWidth="1"/>
    <col min="1289" max="1289" width="16.28515625" style="47" customWidth="1"/>
    <col min="1290" max="1293" width="7.85546875" style="47"/>
    <col min="1294" max="1294" width="14.7109375" style="47" bestFit="1" customWidth="1"/>
    <col min="1295" max="1536" width="7.85546875" style="47"/>
    <col min="1537" max="1537" width="26.42578125" style="47" customWidth="1"/>
    <col min="1538" max="1538" width="12.28515625" style="47" customWidth="1"/>
    <col min="1539" max="1539" width="14.85546875" style="47" customWidth="1"/>
    <col min="1540" max="1540" width="14.42578125" style="47" customWidth="1"/>
    <col min="1541" max="1543" width="15.140625" style="47" customWidth="1"/>
    <col min="1544" max="1544" width="13.7109375" style="47" customWidth="1"/>
    <col min="1545" max="1545" width="16.28515625" style="47" customWidth="1"/>
    <col min="1546" max="1549" width="7.85546875" style="47"/>
    <col min="1550" max="1550" width="14.7109375" style="47" bestFit="1" customWidth="1"/>
    <col min="1551" max="1792" width="7.85546875" style="47"/>
    <col min="1793" max="1793" width="26.42578125" style="47" customWidth="1"/>
    <col min="1794" max="1794" width="12.28515625" style="47" customWidth="1"/>
    <col min="1795" max="1795" width="14.85546875" style="47" customWidth="1"/>
    <col min="1796" max="1796" width="14.42578125" style="47" customWidth="1"/>
    <col min="1797" max="1799" width="15.140625" style="47" customWidth="1"/>
    <col min="1800" max="1800" width="13.7109375" style="47" customWidth="1"/>
    <col min="1801" max="1801" width="16.28515625" style="47" customWidth="1"/>
    <col min="1802" max="1805" width="7.85546875" style="47"/>
    <col min="1806" max="1806" width="14.7109375" style="47" bestFit="1" customWidth="1"/>
    <col min="1807" max="2048" width="7.85546875" style="47"/>
    <col min="2049" max="2049" width="26.42578125" style="47" customWidth="1"/>
    <col min="2050" max="2050" width="12.28515625" style="47" customWidth="1"/>
    <col min="2051" max="2051" width="14.85546875" style="47" customWidth="1"/>
    <col min="2052" max="2052" width="14.42578125" style="47" customWidth="1"/>
    <col min="2053" max="2055" width="15.140625" style="47" customWidth="1"/>
    <col min="2056" max="2056" width="13.7109375" style="47" customWidth="1"/>
    <col min="2057" max="2057" width="16.28515625" style="47" customWidth="1"/>
    <col min="2058" max="2061" width="7.85546875" style="47"/>
    <col min="2062" max="2062" width="14.7109375" style="47" bestFit="1" customWidth="1"/>
    <col min="2063" max="2304" width="7.85546875" style="47"/>
    <col min="2305" max="2305" width="26.42578125" style="47" customWidth="1"/>
    <col min="2306" max="2306" width="12.28515625" style="47" customWidth="1"/>
    <col min="2307" max="2307" width="14.85546875" style="47" customWidth="1"/>
    <col min="2308" max="2308" width="14.42578125" style="47" customWidth="1"/>
    <col min="2309" max="2311" width="15.140625" style="47" customWidth="1"/>
    <col min="2312" max="2312" width="13.7109375" style="47" customWidth="1"/>
    <col min="2313" max="2313" width="16.28515625" style="47" customWidth="1"/>
    <col min="2314" max="2317" width="7.85546875" style="47"/>
    <col min="2318" max="2318" width="14.7109375" style="47" bestFit="1" customWidth="1"/>
    <col min="2319" max="2560" width="7.85546875" style="47"/>
    <col min="2561" max="2561" width="26.42578125" style="47" customWidth="1"/>
    <col min="2562" max="2562" width="12.28515625" style="47" customWidth="1"/>
    <col min="2563" max="2563" width="14.85546875" style="47" customWidth="1"/>
    <col min="2564" max="2564" width="14.42578125" style="47" customWidth="1"/>
    <col min="2565" max="2567" width="15.140625" style="47" customWidth="1"/>
    <col min="2568" max="2568" width="13.7109375" style="47" customWidth="1"/>
    <col min="2569" max="2569" width="16.28515625" style="47" customWidth="1"/>
    <col min="2570" max="2573" width="7.85546875" style="47"/>
    <col min="2574" max="2574" width="14.7109375" style="47" bestFit="1" customWidth="1"/>
    <col min="2575" max="2816" width="7.85546875" style="47"/>
    <col min="2817" max="2817" width="26.42578125" style="47" customWidth="1"/>
    <col min="2818" max="2818" width="12.28515625" style="47" customWidth="1"/>
    <col min="2819" max="2819" width="14.85546875" style="47" customWidth="1"/>
    <col min="2820" max="2820" width="14.42578125" style="47" customWidth="1"/>
    <col min="2821" max="2823" width="15.140625" style="47" customWidth="1"/>
    <col min="2824" max="2824" width="13.7109375" style="47" customWidth="1"/>
    <col min="2825" max="2825" width="16.28515625" style="47" customWidth="1"/>
    <col min="2826" max="2829" width="7.85546875" style="47"/>
    <col min="2830" max="2830" width="14.7109375" style="47" bestFit="1" customWidth="1"/>
    <col min="2831" max="3072" width="7.85546875" style="47"/>
    <col min="3073" max="3073" width="26.42578125" style="47" customWidth="1"/>
    <col min="3074" max="3074" width="12.28515625" style="47" customWidth="1"/>
    <col min="3075" max="3075" width="14.85546875" style="47" customWidth="1"/>
    <col min="3076" max="3076" width="14.42578125" style="47" customWidth="1"/>
    <col min="3077" max="3079" width="15.140625" style="47" customWidth="1"/>
    <col min="3080" max="3080" width="13.7109375" style="47" customWidth="1"/>
    <col min="3081" max="3081" width="16.28515625" style="47" customWidth="1"/>
    <col min="3082" max="3085" width="7.85546875" style="47"/>
    <col min="3086" max="3086" width="14.7109375" style="47" bestFit="1" customWidth="1"/>
    <col min="3087" max="3328" width="7.85546875" style="47"/>
    <col min="3329" max="3329" width="26.42578125" style="47" customWidth="1"/>
    <col min="3330" max="3330" width="12.28515625" style="47" customWidth="1"/>
    <col min="3331" max="3331" width="14.85546875" style="47" customWidth="1"/>
    <col min="3332" max="3332" width="14.42578125" style="47" customWidth="1"/>
    <col min="3333" max="3335" width="15.140625" style="47" customWidth="1"/>
    <col min="3336" max="3336" width="13.7109375" style="47" customWidth="1"/>
    <col min="3337" max="3337" width="16.28515625" style="47" customWidth="1"/>
    <col min="3338" max="3341" width="7.85546875" style="47"/>
    <col min="3342" max="3342" width="14.7109375" style="47" bestFit="1" customWidth="1"/>
    <col min="3343" max="3584" width="7.85546875" style="47"/>
    <col min="3585" max="3585" width="26.42578125" style="47" customWidth="1"/>
    <col min="3586" max="3586" width="12.28515625" style="47" customWidth="1"/>
    <col min="3587" max="3587" width="14.85546875" style="47" customWidth="1"/>
    <col min="3588" max="3588" width="14.42578125" style="47" customWidth="1"/>
    <col min="3589" max="3591" width="15.140625" style="47" customWidth="1"/>
    <col min="3592" max="3592" width="13.7109375" style="47" customWidth="1"/>
    <col min="3593" max="3593" width="16.28515625" style="47" customWidth="1"/>
    <col min="3594" max="3597" width="7.85546875" style="47"/>
    <col min="3598" max="3598" width="14.7109375" style="47" bestFit="1" customWidth="1"/>
    <col min="3599" max="3840" width="7.85546875" style="47"/>
    <col min="3841" max="3841" width="26.42578125" style="47" customWidth="1"/>
    <col min="3842" max="3842" width="12.28515625" style="47" customWidth="1"/>
    <col min="3843" max="3843" width="14.85546875" style="47" customWidth="1"/>
    <col min="3844" max="3844" width="14.42578125" style="47" customWidth="1"/>
    <col min="3845" max="3847" width="15.140625" style="47" customWidth="1"/>
    <col min="3848" max="3848" width="13.7109375" style="47" customWidth="1"/>
    <col min="3849" max="3849" width="16.28515625" style="47" customWidth="1"/>
    <col min="3850" max="3853" width="7.85546875" style="47"/>
    <col min="3854" max="3854" width="14.7109375" style="47" bestFit="1" customWidth="1"/>
    <col min="3855" max="4096" width="7.85546875" style="47"/>
    <col min="4097" max="4097" width="26.42578125" style="47" customWidth="1"/>
    <col min="4098" max="4098" width="12.28515625" style="47" customWidth="1"/>
    <col min="4099" max="4099" width="14.85546875" style="47" customWidth="1"/>
    <col min="4100" max="4100" width="14.42578125" style="47" customWidth="1"/>
    <col min="4101" max="4103" width="15.140625" style="47" customWidth="1"/>
    <col min="4104" max="4104" width="13.7109375" style="47" customWidth="1"/>
    <col min="4105" max="4105" width="16.28515625" style="47" customWidth="1"/>
    <col min="4106" max="4109" width="7.85546875" style="47"/>
    <col min="4110" max="4110" width="14.7109375" style="47" bestFit="1" customWidth="1"/>
    <col min="4111" max="4352" width="7.85546875" style="47"/>
    <col min="4353" max="4353" width="26.42578125" style="47" customWidth="1"/>
    <col min="4354" max="4354" width="12.28515625" style="47" customWidth="1"/>
    <col min="4355" max="4355" width="14.85546875" style="47" customWidth="1"/>
    <col min="4356" max="4356" width="14.42578125" style="47" customWidth="1"/>
    <col min="4357" max="4359" width="15.140625" style="47" customWidth="1"/>
    <col min="4360" max="4360" width="13.7109375" style="47" customWidth="1"/>
    <col min="4361" max="4361" width="16.28515625" style="47" customWidth="1"/>
    <col min="4362" max="4365" width="7.85546875" style="47"/>
    <col min="4366" max="4366" width="14.7109375" style="47" bestFit="1" customWidth="1"/>
    <col min="4367" max="4608" width="7.85546875" style="47"/>
    <col min="4609" max="4609" width="26.42578125" style="47" customWidth="1"/>
    <col min="4610" max="4610" width="12.28515625" style="47" customWidth="1"/>
    <col min="4611" max="4611" width="14.85546875" style="47" customWidth="1"/>
    <col min="4612" max="4612" width="14.42578125" style="47" customWidth="1"/>
    <col min="4613" max="4615" width="15.140625" style="47" customWidth="1"/>
    <col min="4616" max="4616" width="13.7109375" style="47" customWidth="1"/>
    <col min="4617" max="4617" width="16.28515625" style="47" customWidth="1"/>
    <col min="4618" max="4621" width="7.85546875" style="47"/>
    <col min="4622" max="4622" width="14.7109375" style="47" bestFit="1" customWidth="1"/>
    <col min="4623" max="4864" width="7.85546875" style="47"/>
    <col min="4865" max="4865" width="26.42578125" style="47" customWidth="1"/>
    <col min="4866" max="4866" width="12.28515625" style="47" customWidth="1"/>
    <col min="4867" max="4867" width="14.85546875" style="47" customWidth="1"/>
    <col min="4868" max="4868" width="14.42578125" style="47" customWidth="1"/>
    <col min="4869" max="4871" width="15.140625" style="47" customWidth="1"/>
    <col min="4872" max="4872" width="13.7109375" style="47" customWidth="1"/>
    <col min="4873" max="4873" width="16.28515625" style="47" customWidth="1"/>
    <col min="4874" max="4877" width="7.85546875" style="47"/>
    <col min="4878" max="4878" width="14.7109375" style="47" bestFit="1" customWidth="1"/>
    <col min="4879" max="5120" width="7.85546875" style="47"/>
    <col min="5121" max="5121" width="26.42578125" style="47" customWidth="1"/>
    <col min="5122" max="5122" width="12.28515625" style="47" customWidth="1"/>
    <col min="5123" max="5123" width="14.85546875" style="47" customWidth="1"/>
    <col min="5124" max="5124" width="14.42578125" style="47" customWidth="1"/>
    <col min="5125" max="5127" width="15.140625" style="47" customWidth="1"/>
    <col min="5128" max="5128" width="13.7109375" style="47" customWidth="1"/>
    <col min="5129" max="5129" width="16.28515625" style="47" customWidth="1"/>
    <col min="5130" max="5133" width="7.85546875" style="47"/>
    <col min="5134" max="5134" width="14.7109375" style="47" bestFit="1" customWidth="1"/>
    <col min="5135" max="5376" width="7.85546875" style="47"/>
    <col min="5377" max="5377" width="26.42578125" style="47" customWidth="1"/>
    <col min="5378" max="5378" width="12.28515625" style="47" customWidth="1"/>
    <col min="5379" max="5379" width="14.85546875" style="47" customWidth="1"/>
    <col min="5380" max="5380" width="14.42578125" style="47" customWidth="1"/>
    <col min="5381" max="5383" width="15.140625" style="47" customWidth="1"/>
    <col min="5384" max="5384" width="13.7109375" style="47" customWidth="1"/>
    <col min="5385" max="5385" width="16.28515625" style="47" customWidth="1"/>
    <col min="5386" max="5389" width="7.85546875" style="47"/>
    <col min="5390" max="5390" width="14.7109375" style="47" bestFit="1" customWidth="1"/>
    <col min="5391" max="5632" width="7.85546875" style="47"/>
    <col min="5633" max="5633" width="26.42578125" style="47" customWidth="1"/>
    <col min="5634" max="5634" width="12.28515625" style="47" customWidth="1"/>
    <col min="5635" max="5635" width="14.85546875" style="47" customWidth="1"/>
    <col min="5636" max="5636" width="14.42578125" style="47" customWidth="1"/>
    <col min="5637" max="5639" width="15.140625" style="47" customWidth="1"/>
    <col min="5640" max="5640" width="13.7109375" style="47" customWidth="1"/>
    <col min="5641" max="5641" width="16.28515625" style="47" customWidth="1"/>
    <col min="5642" max="5645" width="7.85546875" style="47"/>
    <col min="5646" max="5646" width="14.7109375" style="47" bestFit="1" customWidth="1"/>
    <col min="5647" max="5888" width="7.85546875" style="47"/>
    <col min="5889" max="5889" width="26.42578125" style="47" customWidth="1"/>
    <col min="5890" max="5890" width="12.28515625" style="47" customWidth="1"/>
    <col min="5891" max="5891" width="14.85546875" style="47" customWidth="1"/>
    <col min="5892" max="5892" width="14.42578125" style="47" customWidth="1"/>
    <col min="5893" max="5895" width="15.140625" style="47" customWidth="1"/>
    <col min="5896" max="5896" width="13.7109375" style="47" customWidth="1"/>
    <col min="5897" max="5897" width="16.28515625" style="47" customWidth="1"/>
    <col min="5898" max="5901" width="7.85546875" style="47"/>
    <col min="5902" max="5902" width="14.7109375" style="47" bestFit="1" customWidth="1"/>
    <col min="5903" max="6144" width="7.85546875" style="47"/>
    <col min="6145" max="6145" width="26.42578125" style="47" customWidth="1"/>
    <col min="6146" max="6146" width="12.28515625" style="47" customWidth="1"/>
    <col min="6147" max="6147" width="14.85546875" style="47" customWidth="1"/>
    <col min="6148" max="6148" width="14.42578125" style="47" customWidth="1"/>
    <col min="6149" max="6151" width="15.140625" style="47" customWidth="1"/>
    <col min="6152" max="6152" width="13.7109375" style="47" customWidth="1"/>
    <col min="6153" max="6153" width="16.28515625" style="47" customWidth="1"/>
    <col min="6154" max="6157" width="7.85546875" style="47"/>
    <col min="6158" max="6158" width="14.7109375" style="47" bestFit="1" customWidth="1"/>
    <col min="6159" max="6400" width="7.85546875" style="47"/>
    <col min="6401" max="6401" width="26.42578125" style="47" customWidth="1"/>
    <col min="6402" max="6402" width="12.28515625" style="47" customWidth="1"/>
    <col min="6403" max="6403" width="14.85546875" style="47" customWidth="1"/>
    <col min="6404" max="6404" width="14.42578125" style="47" customWidth="1"/>
    <col min="6405" max="6407" width="15.140625" style="47" customWidth="1"/>
    <col min="6408" max="6408" width="13.7109375" style="47" customWidth="1"/>
    <col min="6409" max="6409" width="16.28515625" style="47" customWidth="1"/>
    <col min="6410" max="6413" width="7.85546875" style="47"/>
    <col min="6414" max="6414" width="14.7109375" style="47" bestFit="1" customWidth="1"/>
    <col min="6415" max="6656" width="7.85546875" style="47"/>
    <col min="6657" max="6657" width="26.42578125" style="47" customWidth="1"/>
    <col min="6658" max="6658" width="12.28515625" style="47" customWidth="1"/>
    <col min="6659" max="6659" width="14.85546875" style="47" customWidth="1"/>
    <col min="6660" max="6660" width="14.42578125" style="47" customWidth="1"/>
    <col min="6661" max="6663" width="15.140625" style="47" customWidth="1"/>
    <col min="6664" max="6664" width="13.7109375" style="47" customWidth="1"/>
    <col min="6665" max="6665" width="16.28515625" style="47" customWidth="1"/>
    <col min="6666" max="6669" width="7.85546875" style="47"/>
    <col min="6670" max="6670" width="14.7109375" style="47" bestFit="1" customWidth="1"/>
    <col min="6671" max="6912" width="7.85546875" style="47"/>
    <col min="6913" max="6913" width="26.42578125" style="47" customWidth="1"/>
    <col min="6914" max="6914" width="12.28515625" style="47" customWidth="1"/>
    <col min="6915" max="6915" width="14.85546875" style="47" customWidth="1"/>
    <col min="6916" max="6916" width="14.42578125" style="47" customWidth="1"/>
    <col min="6917" max="6919" width="15.140625" style="47" customWidth="1"/>
    <col min="6920" max="6920" width="13.7109375" style="47" customWidth="1"/>
    <col min="6921" max="6921" width="16.28515625" style="47" customWidth="1"/>
    <col min="6922" max="6925" width="7.85546875" style="47"/>
    <col min="6926" max="6926" width="14.7109375" style="47" bestFit="1" customWidth="1"/>
    <col min="6927" max="7168" width="7.85546875" style="47"/>
    <col min="7169" max="7169" width="26.42578125" style="47" customWidth="1"/>
    <col min="7170" max="7170" width="12.28515625" style="47" customWidth="1"/>
    <col min="7171" max="7171" width="14.85546875" style="47" customWidth="1"/>
    <col min="7172" max="7172" width="14.42578125" style="47" customWidth="1"/>
    <col min="7173" max="7175" width="15.140625" style="47" customWidth="1"/>
    <col min="7176" max="7176" width="13.7109375" style="47" customWidth="1"/>
    <col min="7177" max="7177" width="16.28515625" style="47" customWidth="1"/>
    <col min="7178" max="7181" width="7.85546875" style="47"/>
    <col min="7182" max="7182" width="14.7109375" style="47" bestFit="1" customWidth="1"/>
    <col min="7183" max="7424" width="7.85546875" style="47"/>
    <col min="7425" max="7425" width="26.42578125" style="47" customWidth="1"/>
    <col min="7426" max="7426" width="12.28515625" style="47" customWidth="1"/>
    <col min="7427" max="7427" width="14.85546875" style="47" customWidth="1"/>
    <col min="7428" max="7428" width="14.42578125" style="47" customWidth="1"/>
    <col min="7429" max="7431" width="15.140625" style="47" customWidth="1"/>
    <col min="7432" max="7432" width="13.7109375" style="47" customWidth="1"/>
    <col min="7433" max="7433" width="16.28515625" style="47" customWidth="1"/>
    <col min="7434" max="7437" width="7.85546875" style="47"/>
    <col min="7438" max="7438" width="14.7109375" style="47" bestFit="1" customWidth="1"/>
    <col min="7439" max="7680" width="7.85546875" style="47"/>
    <col min="7681" max="7681" width="26.42578125" style="47" customWidth="1"/>
    <col min="7682" max="7682" width="12.28515625" style="47" customWidth="1"/>
    <col min="7683" max="7683" width="14.85546875" style="47" customWidth="1"/>
    <col min="7684" max="7684" width="14.42578125" style="47" customWidth="1"/>
    <col min="7685" max="7687" width="15.140625" style="47" customWidth="1"/>
    <col min="7688" max="7688" width="13.7109375" style="47" customWidth="1"/>
    <col min="7689" max="7689" width="16.28515625" style="47" customWidth="1"/>
    <col min="7690" max="7693" width="7.85546875" style="47"/>
    <col min="7694" max="7694" width="14.7109375" style="47" bestFit="1" customWidth="1"/>
    <col min="7695" max="7936" width="7.85546875" style="47"/>
    <col min="7937" max="7937" width="26.42578125" style="47" customWidth="1"/>
    <col min="7938" max="7938" width="12.28515625" style="47" customWidth="1"/>
    <col min="7939" max="7939" width="14.85546875" style="47" customWidth="1"/>
    <col min="7940" max="7940" width="14.42578125" style="47" customWidth="1"/>
    <col min="7941" max="7943" width="15.140625" style="47" customWidth="1"/>
    <col min="7944" max="7944" width="13.7109375" style="47" customWidth="1"/>
    <col min="7945" max="7945" width="16.28515625" style="47" customWidth="1"/>
    <col min="7946" max="7949" width="7.85546875" style="47"/>
    <col min="7950" max="7950" width="14.7109375" style="47" bestFit="1" customWidth="1"/>
    <col min="7951" max="8192" width="7.85546875" style="47"/>
    <col min="8193" max="8193" width="26.42578125" style="47" customWidth="1"/>
    <col min="8194" max="8194" width="12.28515625" style="47" customWidth="1"/>
    <col min="8195" max="8195" width="14.85546875" style="47" customWidth="1"/>
    <col min="8196" max="8196" width="14.42578125" style="47" customWidth="1"/>
    <col min="8197" max="8199" width="15.140625" style="47" customWidth="1"/>
    <col min="8200" max="8200" width="13.7109375" style="47" customWidth="1"/>
    <col min="8201" max="8201" width="16.28515625" style="47" customWidth="1"/>
    <col min="8202" max="8205" width="7.85546875" style="47"/>
    <col min="8206" max="8206" width="14.7109375" style="47" bestFit="1" customWidth="1"/>
    <col min="8207" max="8448" width="7.85546875" style="47"/>
    <col min="8449" max="8449" width="26.42578125" style="47" customWidth="1"/>
    <col min="8450" max="8450" width="12.28515625" style="47" customWidth="1"/>
    <col min="8451" max="8451" width="14.85546875" style="47" customWidth="1"/>
    <col min="8452" max="8452" width="14.42578125" style="47" customWidth="1"/>
    <col min="8453" max="8455" width="15.140625" style="47" customWidth="1"/>
    <col min="8456" max="8456" width="13.7109375" style="47" customWidth="1"/>
    <col min="8457" max="8457" width="16.28515625" style="47" customWidth="1"/>
    <col min="8458" max="8461" width="7.85546875" style="47"/>
    <col min="8462" max="8462" width="14.7109375" style="47" bestFit="1" customWidth="1"/>
    <col min="8463" max="8704" width="7.85546875" style="47"/>
    <col min="8705" max="8705" width="26.42578125" style="47" customWidth="1"/>
    <col min="8706" max="8706" width="12.28515625" style="47" customWidth="1"/>
    <col min="8707" max="8707" width="14.85546875" style="47" customWidth="1"/>
    <col min="8708" max="8708" width="14.42578125" style="47" customWidth="1"/>
    <col min="8709" max="8711" width="15.140625" style="47" customWidth="1"/>
    <col min="8712" max="8712" width="13.7109375" style="47" customWidth="1"/>
    <col min="8713" max="8713" width="16.28515625" style="47" customWidth="1"/>
    <col min="8714" max="8717" width="7.85546875" style="47"/>
    <col min="8718" max="8718" width="14.7109375" style="47" bestFit="1" customWidth="1"/>
    <col min="8719" max="8960" width="7.85546875" style="47"/>
    <col min="8961" max="8961" width="26.42578125" style="47" customWidth="1"/>
    <col min="8962" max="8962" width="12.28515625" style="47" customWidth="1"/>
    <col min="8963" max="8963" width="14.85546875" style="47" customWidth="1"/>
    <col min="8964" max="8964" width="14.42578125" style="47" customWidth="1"/>
    <col min="8965" max="8967" width="15.140625" style="47" customWidth="1"/>
    <col min="8968" max="8968" width="13.7109375" style="47" customWidth="1"/>
    <col min="8969" max="8969" width="16.28515625" style="47" customWidth="1"/>
    <col min="8970" max="8973" width="7.85546875" style="47"/>
    <col min="8974" max="8974" width="14.7109375" style="47" bestFit="1" customWidth="1"/>
    <col min="8975" max="9216" width="7.85546875" style="47"/>
    <col min="9217" max="9217" width="26.42578125" style="47" customWidth="1"/>
    <col min="9218" max="9218" width="12.28515625" style="47" customWidth="1"/>
    <col min="9219" max="9219" width="14.85546875" style="47" customWidth="1"/>
    <col min="9220" max="9220" width="14.42578125" style="47" customWidth="1"/>
    <col min="9221" max="9223" width="15.140625" style="47" customWidth="1"/>
    <col min="9224" max="9224" width="13.7109375" style="47" customWidth="1"/>
    <col min="9225" max="9225" width="16.28515625" style="47" customWidth="1"/>
    <col min="9226" max="9229" width="7.85546875" style="47"/>
    <col min="9230" max="9230" width="14.7109375" style="47" bestFit="1" customWidth="1"/>
    <col min="9231" max="9472" width="7.85546875" style="47"/>
    <col min="9473" max="9473" width="26.42578125" style="47" customWidth="1"/>
    <col min="9474" max="9474" width="12.28515625" style="47" customWidth="1"/>
    <col min="9475" max="9475" width="14.85546875" style="47" customWidth="1"/>
    <col min="9476" max="9476" width="14.42578125" style="47" customWidth="1"/>
    <col min="9477" max="9479" width="15.140625" style="47" customWidth="1"/>
    <col min="9480" max="9480" width="13.7109375" style="47" customWidth="1"/>
    <col min="9481" max="9481" width="16.28515625" style="47" customWidth="1"/>
    <col min="9482" max="9485" width="7.85546875" style="47"/>
    <col min="9486" max="9486" width="14.7109375" style="47" bestFit="1" customWidth="1"/>
    <col min="9487" max="9728" width="7.85546875" style="47"/>
    <col min="9729" max="9729" width="26.42578125" style="47" customWidth="1"/>
    <col min="9730" max="9730" width="12.28515625" style="47" customWidth="1"/>
    <col min="9731" max="9731" width="14.85546875" style="47" customWidth="1"/>
    <col min="9732" max="9732" width="14.42578125" style="47" customWidth="1"/>
    <col min="9733" max="9735" width="15.140625" style="47" customWidth="1"/>
    <col min="9736" max="9736" width="13.7109375" style="47" customWidth="1"/>
    <col min="9737" max="9737" width="16.28515625" style="47" customWidth="1"/>
    <col min="9738" max="9741" width="7.85546875" style="47"/>
    <col min="9742" max="9742" width="14.7109375" style="47" bestFit="1" customWidth="1"/>
    <col min="9743" max="9984" width="7.85546875" style="47"/>
    <col min="9985" max="9985" width="26.42578125" style="47" customWidth="1"/>
    <col min="9986" max="9986" width="12.28515625" style="47" customWidth="1"/>
    <col min="9987" max="9987" width="14.85546875" style="47" customWidth="1"/>
    <col min="9988" max="9988" width="14.42578125" style="47" customWidth="1"/>
    <col min="9989" max="9991" width="15.140625" style="47" customWidth="1"/>
    <col min="9992" max="9992" width="13.7109375" style="47" customWidth="1"/>
    <col min="9993" max="9993" width="16.28515625" style="47" customWidth="1"/>
    <col min="9994" max="9997" width="7.85546875" style="47"/>
    <col min="9998" max="9998" width="14.7109375" style="47" bestFit="1" customWidth="1"/>
    <col min="9999" max="10240" width="7.85546875" style="47"/>
    <col min="10241" max="10241" width="26.42578125" style="47" customWidth="1"/>
    <col min="10242" max="10242" width="12.28515625" style="47" customWidth="1"/>
    <col min="10243" max="10243" width="14.85546875" style="47" customWidth="1"/>
    <col min="10244" max="10244" width="14.42578125" style="47" customWidth="1"/>
    <col min="10245" max="10247" width="15.140625" style="47" customWidth="1"/>
    <col min="10248" max="10248" width="13.7109375" style="47" customWidth="1"/>
    <col min="10249" max="10249" width="16.28515625" style="47" customWidth="1"/>
    <col min="10250" max="10253" width="7.85546875" style="47"/>
    <col min="10254" max="10254" width="14.7109375" style="47" bestFit="1" customWidth="1"/>
    <col min="10255" max="10496" width="7.85546875" style="47"/>
    <col min="10497" max="10497" width="26.42578125" style="47" customWidth="1"/>
    <col min="10498" max="10498" width="12.28515625" style="47" customWidth="1"/>
    <col min="10499" max="10499" width="14.85546875" style="47" customWidth="1"/>
    <col min="10500" max="10500" width="14.42578125" style="47" customWidth="1"/>
    <col min="10501" max="10503" width="15.140625" style="47" customWidth="1"/>
    <col min="10504" max="10504" width="13.7109375" style="47" customWidth="1"/>
    <col min="10505" max="10505" width="16.28515625" style="47" customWidth="1"/>
    <col min="10506" max="10509" width="7.85546875" style="47"/>
    <col min="10510" max="10510" width="14.7109375" style="47" bestFit="1" customWidth="1"/>
    <col min="10511" max="10752" width="7.85546875" style="47"/>
    <col min="10753" max="10753" width="26.42578125" style="47" customWidth="1"/>
    <col min="10754" max="10754" width="12.28515625" style="47" customWidth="1"/>
    <col min="10755" max="10755" width="14.85546875" style="47" customWidth="1"/>
    <col min="10756" max="10756" width="14.42578125" style="47" customWidth="1"/>
    <col min="10757" max="10759" width="15.140625" style="47" customWidth="1"/>
    <col min="10760" max="10760" width="13.7109375" style="47" customWidth="1"/>
    <col min="10761" max="10761" width="16.28515625" style="47" customWidth="1"/>
    <col min="10762" max="10765" width="7.85546875" style="47"/>
    <col min="10766" max="10766" width="14.7109375" style="47" bestFit="1" customWidth="1"/>
    <col min="10767" max="11008" width="7.85546875" style="47"/>
    <col min="11009" max="11009" width="26.42578125" style="47" customWidth="1"/>
    <col min="11010" max="11010" width="12.28515625" style="47" customWidth="1"/>
    <col min="11011" max="11011" width="14.85546875" style="47" customWidth="1"/>
    <col min="11012" max="11012" width="14.42578125" style="47" customWidth="1"/>
    <col min="11013" max="11015" width="15.140625" style="47" customWidth="1"/>
    <col min="11016" max="11016" width="13.7109375" style="47" customWidth="1"/>
    <col min="11017" max="11017" width="16.28515625" style="47" customWidth="1"/>
    <col min="11018" max="11021" width="7.85546875" style="47"/>
    <col min="11022" max="11022" width="14.7109375" style="47" bestFit="1" customWidth="1"/>
    <col min="11023" max="11264" width="7.85546875" style="47"/>
    <col min="11265" max="11265" width="26.42578125" style="47" customWidth="1"/>
    <col min="11266" max="11266" width="12.28515625" style="47" customWidth="1"/>
    <col min="11267" max="11267" width="14.85546875" style="47" customWidth="1"/>
    <col min="11268" max="11268" width="14.42578125" style="47" customWidth="1"/>
    <col min="11269" max="11271" width="15.140625" style="47" customWidth="1"/>
    <col min="11272" max="11272" width="13.7109375" style="47" customWidth="1"/>
    <col min="11273" max="11273" width="16.28515625" style="47" customWidth="1"/>
    <col min="11274" max="11277" width="7.85546875" style="47"/>
    <col min="11278" max="11278" width="14.7109375" style="47" bestFit="1" customWidth="1"/>
    <col min="11279" max="11520" width="7.85546875" style="47"/>
    <col min="11521" max="11521" width="26.42578125" style="47" customWidth="1"/>
    <col min="11522" max="11522" width="12.28515625" style="47" customWidth="1"/>
    <col min="11523" max="11523" width="14.85546875" style="47" customWidth="1"/>
    <col min="11524" max="11524" width="14.42578125" style="47" customWidth="1"/>
    <col min="11525" max="11527" width="15.140625" style="47" customWidth="1"/>
    <col min="11528" max="11528" width="13.7109375" style="47" customWidth="1"/>
    <col min="11529" max="11529" width="16.28515625" style="47" customWidth="1"/>
    <col min="11530" max="11533" width="7.85546875" style="47"/>
    <col min="11534" max="11534" width="14.7109375" style="47" bestFit="1" customWidth="1"/>
    <col min="11535" max="11776" width="7.85546875" style="47"/>
    <col min="11777" max="11777" width="26.42578125" style="47" customWidth="1"/>
    <col min="11778" max="11778" width="12.28515625" style="47" customWidth="1"/>
    <col min="11779" max="11779" width="14.85546875" style="47" customWidth="1"/>
    <col min="11780" max="11780" width="14.42578125" style="47" customWidth="1"/>
    <col min="11781" max="11783" width="15.140625" style="47" customWidth="1"/>
    <col min="11784" max="11784" width="13.7109375" style="47" customWidth="1"/>
    <col min="11785" max="11785" width="16.28515625" style="47" customWidth="1"/>
    <col min="11786" max="11789" width="7.85546875" style="47"/>
    <col min="11790" max="11790" width="14.7109375" style="47" bestFit="1" customWidth="1"/>
    <col min="11791" max="12032" width="7.85546875" style="47"/>
    <col min="12033" max="12033" width="26.42578125" style="47" customWidth="1"/>
    <col min="12034" max="12034" width="12.28515625" style="47" customWidth="1"/>
    <col min="12035" max="12035" width="14.85546875" style="47" customWidth="1"/>
    <col min="12036" max="12036" width="14.42578125" style="47" customWidth="1"/>
    <col min="12037" max="12039" width="15.140625" style="47" customWidth="1"/>
    <col min="12040" max="12040" width="13.7109375" style="47" customWidth="1"/>
    <col min="12041" max="12041" width="16.28515625" style="47" customWidth="1"/>
    <col min="12042" max="12045" width="7.85546875" style="47"/>
    <col min="12046" max="12046" width="14.7109375" style="47" bestFit="1" customWidth="1"/>
    <col min="12047" max="12288" width="7.85546875" style="47"/>
    <col min="12289" max="12289" width="26.42578125" style="47" customWidth="1"/>
    <col min="12290" max="12290" width="12.28515625" style="47" customWidth="1"/>
    <col min="12291" max="12291" width="14.85546875" style="47" customWidth="1"/>
    <col min="12292" max="12292" width="14.42578125" style="47" customWidth="1"/>
    <col min="12293" max="12295" width="15.140625" style="47" customWidth="1"/>
    <col min="12296" max="12296" width="13.7109375" style="47" customWidth="1"/>
    <col min="12297" max="12297" width="16.28515625" style="47" customWidth="1"/>
    <col min="12298" max="12301" width="7.85546875" style="47"/>
    <col min="12302" max="12302" width="14.7109375" style="47" bestFit="1" customWidth="1"/>
    <col min="12303" max="12544" width="7.85546875" style="47"/>
    <col min="12545" max="12545" width="26.42578125" style="47" customWidth="1"/>
    <col min="12546" max="12546" width="12.28515625" style="47" customWidth="1"/>
    <col min="12547" max="12547" width="14.85546875" style="47" customWidth="1"/>
    <col min="12548" max="12548" width="14.42578125" style="47" customWidth="1"/>
    <col min="12549" max="12551" width="15.140625" style="47" customWidth="1"/>
    <col min="12552" max="12552" width="13.7109375" style="47" customWidth="1"/>
    <col min="12553" max="12553" width="16.28515625" style="47" customWidth="1"/>
    <col min="12554" max="12557" width="7.85546875" style="47"/>
    <col min="12558" max="12558" width="14.7109375" style="47" bestFit="1" customWidth="1"/>
    <col min="12559" max="12800" width="7.85546875" style="47"/>
    <col min="12801" max="12801" width="26.42578125" style="47" customWidth="1"/>
    <col min="12802" max="12802" width="12.28515625" style="47" customWidth="1"/>
    <col min="12803" max="12803" width="14.85546875" style="47" customWidth="1"/>
    <col min="12804" max="12804" width="14.42578125" style="47" customWidth="1"/>
    <col min="12805" max="12807" width="15.140625" style="47" customWidth="1"/>
    <col min="12808" max="12808" width="13.7109375" style="47" customWidth="1"/>
    <col min="12809" max="12809" width="16.28515625" style="47" customWidth="1"/>
    <col min="12810" max="12813" width="7.85546875" style="47"/>
    <col min="12814" max="12814" width="14.7109375" style="47" bestFit="1" customWidth="1"/>
    <col min="12815" max="13056" width="7.85546875" style="47"/>
    <col min="13057" max="13057" width="26.42578125" style="47" customWidth="1"/>
    <col min="13058" max="13058" width="12.28515625" style="47" customWidth="1"/>
    <col min="13059" max="13059" width="14.85546875" style="47" customWidth="1"/>
    <col min="13060" max="13060" width="14.42578125" style="47" customWidth="1"/>
    <col min="13061" max="13063" width="15.140625" style="47" customWidth="1"/>
    <col min="13064" max="13064" width="13.7109375" style="47" customWidth="1"/>
    <col min="13065" max="13065" width="16.28515625" style="47" customWidth="1"/>
    <col min="13066" max="13069" width="7.85546875" style="47"/>
    <col min="13070" max="13070" width="14.7109375" style="47" bestFit="1" customWidth="1"/>
    <col min="13071" max="13312" width="7.85546875" style="47"/>
    <col min="13313" max="13313" width="26.42578125" style="47" customWidth="1"/>
    <col min="13314" max="13314" width="12.28515625" style="47" customWidth="1"/>
    <col min="13315" max="13315" width="14.85546875" style="47" customWidth="1"/>
    <col min="13316" max="13316" width="14.42578125" style="47" customWidth="1"/>
    <col min="13317" max="13319" width="15.140625" style="47" customWidth="1"/>
    <col min="13320" max="13320" width="13.7109375" style="47" customWidth="1"/>
    <col min="13321" max="13321" width="16.28515625" style="47" customWidth="1"/>
    <col min="13322" max="13325" width="7.85546875" style="47"/>
    <col min="13326" max="13326" width="14.7109375" style="47" bestFit="1" customWidth="1"/>
    <col min="13327" max="13568" width="7.85546875" style="47"/>
    <col min="13569" max="13569" width="26.42578125" style="47" customWidth="1"/>
    <col min="13570" max="13570" width="12.28515625" style="47" customWidth="1"/>
    <col min="13571" max="13571" width="14.85546875" style="47" customWidth="1"/>
    <col min="13572" max="13572" width="14.42578125" style="47" customWidth="1"/>
    <col min="13573" max="13575" width="15.140625" style="47" customWidth="1"/>
    <col min="13576" max="13576" width="13.7109375" style="47" customWidth="1"/>
    <col min="13577" max="13577" width="16.28515625" style="47" customWidth="1"/>
    <col min="13578" max="13581" width="7.85546875" style="47"/>
    <col min="13582" max="13582" width="14.7109375" style="47" bestFit="1" customWidth="1"/>
    <col min="13583" max="13824" width="7.85546875" style="47"/>
    <col min="13825" max="13825" width="26.42578125" style="47" customWidth="1"/>
    <col min="13826" max="13826" width="12.28515625" style="47" customWidth="1"/>
    <col min="13827" max="13827" width="14.85546875" style="47" customWidth="1"/>
    <col min="13828" max="13828" width="14.42578125" style="47" customWidth="1"/>
    <col min="13829" max="13831" width="15.140625" style="47" customWidth="1"/>
    <col min="13832" max="13832" width="13.7109375" style="47" customWidth="1"/>
    <col min="13833" max="13833" width="16.28515625" style="47" customWidth="1"/>
    <col min="13834" max="13837" width="7.85546875" style="47"/>
    <col min="13838" max="13838" width="14.7109375" style="47" bestFit="1" customWidth="1"/>
    <col min="13839" max="14080" width="7.85546875" style="47"/>
    <col min="14081" max="14081" width="26.42578125" style="47" customWidth="1"/>
    <col min="14082" max="14082" width="12.28515625" style="47" customWidth="1"/>
    <col min="14083" max="14083" width="14.85546875" style="47" customWidth="1"/>
    <col min="14084" max="14084" width="14.42578125" style="47" customWidth="1"/>
    <col min="14085" max="14087" width="15.140625" style="47" customWidth="1"/>
    <col min="14088" max="14088" width="13.7109375" style="47" customWidth="1"/>
    <col min="14089" max="14089" width="16.28515625" style="47" customWidth="1"/>
    <col min="14090" max="14093" width="7.85546875" style="47"/>
    <col min="14094" max="14094" width="14.7109375" style="47" bestFit="1" customWidth="1"/>
    <col min="14095" max="14336" width="7.85546875" style="47"/>
    <col min="14337" max="14337" width="26.42578125" style="47" customWidth="1"/>
    <col min="14338" max="14338" width="12.28515625" style="47" customWidth="1"/>
    <col min="14339" max="14339" width="14.85546875" style="47" customWidth="1"/>
    <col min="14340" max="14340" width="14.42578125" style="47" customWidth="1"/>
    <col min="14341" max="14343" width="15.140625" style="47" customWidth="1"/>
    <col min="14344" max="14344" width="13.7109375" style="47" customWidth="1"/>
    <col min="14345" max="14345" width="16.28515625" style="47" customWidth="1"/>
    <col min="14346" max="14349" width="7.85546875" style="47"/>
    <col min="14350" max="14350" width="14.7109375" style="47" bestFit="1" customWidth="1"/>
    <col min="14351" max="14592" width="7.85546875" style="47"/>
    <col min="14593" max="14593" width="26.42578125" style="47" customWidth="1"/>
    <col min="14594" max="14594" width="12.28515625" style="47" customWidth="1"/>
    <col min="14595" max="14595" width="14.85546875" style="47" customWidth="1"/>
    <col min="14596" max="14596" width="14.42578125" style="47" customWidth="1"/>
    <col min="14597" max="14599" width="15.140625" style="47" customWidth="1"/>
    <col min="14600" max="14600" width="13.7109375" style="47" customWidth="1"/>
    <col min="14601" max="14601" width="16.28515625" style="47" customWidth="1"/>
    <col min="14602" max="14605" width="7.85546875" style="47"/>
    <col min="14606" max="14606" width="14.7109375" style="47" bestFit="1" customWidth="1"/>
    <col min="14607" max="14848" width="7.85546875" style="47"/>
    <col min="14849" max="14849" width="26.42578125" style="47" customWidth="1"/>
    <col min="14850" max="14850" width="12.28515625" style="47" customWidth="1"/>
    <col min="14851" max="14851" width="14.85546875" style="47" customWidth="1"/>
    <col min="14852" max="14852" width="14.42578125" style="47" customWidth="1"/>
    <col min="14853" max="14855" width="15.140625" style="47" customWidth="1"/>
    <col min="14856" max="14856" width="13.7109375" style="47" customWidth="1"/>
    <col min="14857" max="14857" width="16.28515625" style="47" customWidth="1"/>
    <col min="14858" max="14861" width="7.85546875" style="47"/>
    <col min="14862" max="14862" width="14.7109375" style="47" bestFit="1" customWidth="1"/>
    <col min="14863" max="15104" width="7.85546875" style="47"/>
    <col min="15105" max="15105" width="26.42578125" style="47" customWidth="1"/>
    <col min="15106" max="15106" width="12.28515625" style="47" customWidth="1"/>
    <col min="15107" max="15107" width="14.85546875" style="47" customWidth="1"/>
    <col min="15108" max="15108" width="14.42578125" style="47" customWidth="1"/>
    <col min="15109" max="15111" width="15.140625" style="47" customWidth="1"/>
    <col min="15112" max="15112" width="13.7109375" style="47" customWidth="1"/>
    <col min="15113" max="15113" width="16.28515625" style="47" customWidth="1"/>
    <col min="15114" max="15117" width="7.85546875" style="47"/>
    <col min="15118" max="15118" width="14.7109375" style="47" bestFit="1" customWidth="1"/>
    <col min="15119" max="15360" width="7.85546875" style="47"/>
    <col min="15361" max="15361" width="26.42578125" style="47" customWidth="1"/>
    <col min="15362" max="15362" width="12.28515625" style="47" customWidth="1"/>
    <col min="15363" max="15363" width="14.85546875" style="47" customWidth="1"/>
    <col min="15364" max="15364" width="14.42578125" style="47" customWidth="1"/>
    <col min="15365" max="15367" width="15.140625" style="47" customWidth="1"/>
    <col min="15368" max="15368" width="13.7109375" style="47" customWidth="1"/>
    <col min="15369" max="15369" width="16.28515625" style="47" customWidth="1"/>
    <col min="15370" max="15373" width="7.85546875" style="47"/>
    <col min="15374" max="15374" width="14.7109375" style="47" bestFit="1" customWidth="1"/>
    <col min="15375" max="15616" width="7.85546875" style="47"/>
    <col min="15617" max="15617" width="26.42578125" style="47" customWidth="1"/>
    <col min="15618" max="15618" width="12.28515625" style="47" customWidth="1"/>
    <col min="15619" max="15619" width="14.85546875" style="47" customWidth="1"/>
    <col min="15620" max="15620" width="14.42578125" style="47" customWidth="1"/>
    <col min="15621" max="15623" width="15.140625" style="47" customWidth="1"/>
    <col min="15624" max="15624" width="13.7109375" style="47" customWidth="1"/>
    <col min="15625" max="15625" width="16.28515625" style="47" customWidth="1"/>
    <col min="15626" max="15629" width="7.85546875" style="47"/>
    <col min="15630" max="15630" width="14.7109375" style="47" bestFit="1" customWidth="1"/>
    <col min="15631" max="15872" width="7.85546875" style="47"/>
    <col min="15873" max="15873" width="26.42578125" style="47" customWidth="1"/>
    <col min="15874" max="15874" width="12.28515625" style="47" customWidth="1"/>
    <col min="15875" max="15875" width="14.85546875" style="47" customWidth="1"/>
    <col min="15876" max="15876" width="14.42578125" style="47" customWidth="1"/>
    <col min="15877" max="15879" width="15.140625" style="47" customWidth="1"/>
    <col min="15880" max="15880" width="13.7109375" style="47" customWidth="1"/>
    <col min="15881" max="15881" width="16.28515625" style="47" customWidth="1"/>
    <col min="15882" max="15885" width="7.85546875" style="47"/>
    <col min="15886" max="15886" width="14.7109375" style="47" bestFit="1" customWidth="1"/>
    <col min="15887" max="16128" width="7.85546875" style="47"/>
    <col min="16129" max="16129" width="26.42578125" style="47" customWidth="1"/>
    <col min="16130" max="16130" width="12.28515625" style="47" customWidth="1"/>
    <col min="16131" max="16131" width="14.85546875" style="47" customWidth="1"/>
    <col min="16132" max="16132" width="14.42578125" style="47" customWidth="1"/>
    <col min="16133" max="16135" width="15.140625" style="47" customWidth="1"/>
    <col min="16136" max="16136" width="13.7109375" style="47" customWidth="1"/>
    <col min="16137" max="16137" width="16.28515625" style="47" customWidth="1"/>
    <col min="16138" max="16141" width="7.85546875" style="47"/>
    <col min="16142" max="16142" width="14.7109375" style="47" bestFit="1" customWidth="1"/>
    <col min="16143" max="16384" width="7.85546875" style="47"/>
  </cols>
  <sheetData>
    <row r="5" spans="1:15" ht="15.75" customHeight="1" x14ac:dyDescent="0.25">
      <c r="A5" s="324" t="s">
        <v>156</v>
      </c>
      <c r="B5" s="324"/>
      <c r="C5" s="324"/>
      <c r="D5" s="324"/>
      <c r="E5" s="324"/>
      <c r="F5" s="324"/>
      <c r="G5" s="324"/>
      <c r="H5" s="324"/>
      <c r="I5" s="324"/>
    </row>
    <row r="6" spans="1:15" s="51" customFormat="1" ht="21.75" customHeight="1" x14ac:dyDescent="0.35">
      <c r="A6" s="48" t="s">
        <v>0</v>
      </c>
      <c r="B6" s="49"/>
      <c r="C6" s="50"/>
      <c r="D6" s="50"/>
      <c r="E6" s="50"/>
      <c r="F6" s="50"/>
      <c r="G6" s="50"/>
      <c r="H6" s="50"/>
      <c r="I6" s="50"/>
    </row>
    <row r="7" spans="1:15" s="53" customFormat="1" ht="15.75" x14ac:dyDescent="0.25">
      <c r="A7" s="52" t="s">
        <v>63</v>
      </c>
    </row>
    <row r="8" spans="1:15" s="55" customFormat="1" ht="25.5" customHeight="1" x14ac:dyDescent="0.2">
      <c r="A8" s="54" t="s">
        <v>2</v>
      </c>
      <c r="B8" s="54" t="s">
        <v>64</v>
      </c>
      <c r="C8" s="54" t="s">
        <v>65</v>
      </c>
      <c r="D8" s="54" t="s">
        <v>66</v>
      </c>
      <c r="E8" s="54" t="s">
        <v>67</v>
      </c>
      <c r="F8" s="54" t="s">
        <v>68</v>
      </c>
      <c r="G8" s="54" t="s">
        <v>69</v>
      </c>
      <c r="H8" s="54" t="s">
        <v>70</v>
      </c>
      <c r="I8" s="54" t="s">
        <v>71</v>
      </c>
      <c r="N8" s="237" t="s">
        <v>149</v>
      </c>
    </row>
    <row r="9" spans="1:15" customFormat="1" ht="17.25" customHeight="1" x14ac:dyDescent="0.25">
      <c r="A9" s="56" t="s">
        <v>72</v>
      </c>
      <c r="B9" s="57"/>
      <c r="C9" s="58"/>
      <c r="D9" s="59"/>
      <c r="E9" s="59"/>
      <c r="F9" s="59"/>
      <c r="G9" s="59"/>
      <c r="H9" s="59"/>
      <c r="I9" s="60"/>
      <c r="K9" s="61" t="s">
        <v>73</v>
      </c>
    </row>
    <row r="10" spans="1:15" customFormat="1" ht="12.95" customHeight="1" x14ac:dyDescent="0.25">
      <c r="A10" s="62" t="s">
        <v>74</v>
      </c>
      <c r="B10" s="63">
        <v>1</v>
      </c>
      <c r="C10" s="318">
        <v>19.68</v>
      </c>
      <c r="D10" s="64">
        <v>11</v>
      </c>
      <c r="E10" s="65">
        <v>0</v>
      </c>
      <c r="F10" s="65">
        <f>(((C10*2.2*12)*B10)*1.7+((C10*11*5)*B10)*2)</f>
        <v>3048.0383999999995</v>
      </c>
      <c r="G10" s="65">
        <v>0</v>
      </c>
      <c r="H10" s="65">
        <f t="shared" ref="H10" si="0">C10*220*B10</f>
        <v>4329.6000000000004</v>
      </c>
      <c r="I10" s="234">
        <f t="shared" ref="I10" si="1">E10+F10+G10+H10</f>
        <v>7377.6383999999998</v>
      </c>
      <c r="M10" s="16">
        <f>B10</f>
        <v>1</v>
      </c>
      <c r="N10">
        <v>17.68</v>
      </c>
      <c r="O10" s="233">
        <f t="shared" ref="O10:O13" si="2">170*N10*M10</f>
        <v>3005.6</v>
      </c>
    </row>
    <row r="11" spans="1:15" customFormat="1" ht="12.95" customHeight="1" x14ac:dyDescent="0.25">
      <c r="A11" s="67" t="s">
        <v>75</v>
      </c>
      <c r="B11" s="63"/>
      <c r="C11" s="66"/>
      <c r="D11" s="64"/>
      <c r="E11" s="65"/>
      <c r="F11" s="65"/>
      <c r="G11" s="65">
        <v>0</v>
      </c>
      <c r="H11" s="65"/>
      <c r="I11" s="234"/>
      <c r="M11" s="47"/>
      <c r="O11" s="233">
        <f t="shared" si="2"/>
        <v>0</v>
      </c>
    </row>
    <row r="12" spans="1:15" customFormat="1" ht="12.95" customHeight="1" x14ac:dyDescent="0.25">
      <c r="A12" s="62" t="s">
        <v>76</v>
      </c>
      <c r="B12" s="63">
        <v>4</v>
      </c>
      <c r="C12" s="66">
        <f>(2133.56/220)*1.04</f>
        <v>10.085920000000002</v>
      </c>
      <c r="D12" s="64">
        <v>11</v>
      </c>
      <c r="E12" s="65">
        <v>0</v>
      </c>
      <c r="F12" s="65">
        <f>(((C12*2.2*12)*B12)*1.7+((C12*11*5)*B12)*2)</f>
        <v>6248.4291584000011</v>
      </c>
      <c r="G12" s="65">
        <v>0</v>
      </c>
      <c r="H12" s="65">
        <f>C12*220*B12</f>
        <v>8875.6096000000016</v>
      </c>
      <c r="I12" s="234">
        <f>E12+F12+G12+H12</f>
        <v>15124.038758400002</v>
      </c>
      <c r="M12" s="16">
        <f>B12</f>
        <v>4</v>
      </c>
      <c r="N12">
        <v>10.085920000000002</v>
      </c>
      <c r="O12" s="233">
        <f t="shared" si="2"/>
        <v>6858.4256000000014</v>
      </c>
    </row>
    <row r="13" spans="1:15" customFormat="1" ht="12.95" customHeight="1" x14ac:dyDescent="0.25">
      <c r="A13" s="62" t="s">
        <v>78</v>
      </c>
      <c r="B13" s="63">
        <v>1</v>
      </c>
      <c r="C13" s="66">
        <f>(2002/220)*1.04</f>
        <v>9.4640000000000004</v>
      </c>
      <c r="D13" s="64">
        <v>11</v>
      </c>
      <c r="E13" s="65">
        <v>0</v>
      </c>
      <c r="F13" s="65">
        <f t="shared" ref="F13" si="3">(((C13*2.2*12)*B13)*1.7+((C13*11*5)*B13)*2)</f>
        <v>1465.78432</v>
      </c>
      <c r="G13" s="65">
        <v>0</v>
      </c>
      <c r="H13" s="65">
        <f>C13*220*B13</f>
        <v>2082.08</v>
      </c>
      <c r="I13" s="234">
        <f>E13+F13+G13+H13</f>
        <v>3547.8643199999997</v>
      </c>
      <c r="M13" s="16">
        <f>B13</f>
        <v>1</v>
      </c>
      <c r="N13">
        <v>9.4640000000000004</v>
      </c>
      <c r="O13" s="233">
        <f t="shared" si="2"/>
        <v>1608.88</v>
      </c>
    </row>
    <row r="14" spans="1:15" customFormat="1" ht="12.95" customHeight="1" x14ac:dyDescent="0.25">
      <c r="A14" s="68"/>
      <c r="B14" s="63"/>
      <c r="C14" s="69"/>
      <c r="D14" s="64"/>
      <c r="E14" s="64"/>
      <c r="F14" s="64"/>
      <c r="G14" s="64"/>
      <c r="H14" s="70"/>
      <c r="I14" s="235"/>
      <c r="O14" s="233"/>
    </row>
    <row r="15" spans="1:15" customFormat="1" ht="12.95" customHeight="1" x14ac:dyDescent="0.25">
      <c r="A15" s="67"/>
      <c r="B15" s="72"/>
      <c r="C15" s="69"/>
      <c r="D15" s="64"/>
      <c r="E15" s="64"/>
      <c r="F15" s="64"/>
      <c r="G15" s="64"/>
      <c r="H15" s="64"/>
      <c r="I15" s="73"/>
      <c r="O15" s="236">
        <f>SUM(O10:O13)</f>
        <v>11472.905600000002</v>
      </c>
    </row>
    <row r="16" spans="1:15" customFormat="1" ht="12.95" customHeight="1" x14ac:dyDescent="0.25">
      <c r="A16" s="74"/>
      <c r="B16" s="75"/>
      <c r="C16" s="69"/>
      <c r="D16" s="64"/>
      <c r="E16" s="76"/>
      <c r="F16" s="76"/>
      <c r="G16" s="76"/>
      <c r="H16" s="70"/>
      <c r="I16" s="71"/>
    </row>
    <row r="17" spans="1:9" customFormat="1" ht="14.1" customHeight="1" x14ac:dyDescent="0.25">
      <c r="A17" s="77" t="s">
        <v>79</v>
      </c>
      <c r="B17" s="78"/>
      <c r="C17" s="79"/>
      <c r="D17" s="80"/>
      <c r="E17" s="80"/>
      <c r="F17" s="80"/>
      <c r="G17" s="80"/>
      <c r="H17" s="80"/>
      <c r="I17" s="81"/>
    </row>
    <row r="18" spans="1:9" s="53" customFormat="1" ht="14.25" customHeight="1" x14ac:dyDescent="0.2">
      <c r="C18" s="82"/>
      <c r="D18" s="325" t="s">
        <v>80</v>
      </c>
      <c r="E18" s="326"/>
      <c r="F18" s="326"/>
      <c r="G18" s="326"/>
      <c r="H18" s="327"/>
      <c r="I18" s="83">
        <f>SUM(I10:I16)</f>
        <v>26049.541478400002</v>
      </c>
    </row>
    <row r="19" spans="1:9" s="53" customFormat="1" ht="17.25" customHeight="1" x14ac:dyDescent="0.25">
      <c r="A19" s="52" t="s">
        <v>81</v>
      </c>
    </row>
    <row r="20" spans="1:9" s="53" customFormat="1" ht="13.5" customHeight="1" x14ac:dyDescent="0.2">
      <c r="A20" s="84" t="s">
        <v>82</v>
      </c>
      <c r="B20" s="85" t="s">
        <v>83</v>
      </c>
      <c r="C20" s="86" t="s">
        <v>84</v>
      </c>
      <c r="D20" s="87"/>
      <c r="E20" s="87"/>
      <c r="F20" s="87"/>
      <c r="G20" s="87"/>
      <c r="H20" s="87"/>
    </row>
    <row r="21" spans="1:9" s="53" customFormat="1" ht="15.75" hidden="1" customHeight="1" x14ac:dyDescent="0.2">
      <c r="A21" s="88" t="s">
        <v>85</v>
      </c>
      <c r="B21" s="89"/>
      <c r="C21" s="90"/>
      <c r="D21" s="91"/>
      <c r="E21" s="91"/>
      <c r="F21" s="91"/>
      <c r="G21" s="91"/>
      <c r="H21" s="91"/>
    </row>
    <row r="22" spans="1:9" s="53" customFormat="1" ht="12.75" hidden="1" x14ac:dyDescent="0.2">
      <c r="A22" s="92" t="s">
        <v>86</v>
      </c>
      <c r="B22" s="93">
        <v>0.2</v>
      </c>
      <c r="C22" s="94">
        <f>I18*B22</f>
        <v>5209.9082956800012</v>
      </c>
      <c r="D22" s="91"/>
      <c r="E22" s="91"/>
      <c r="F22" s="91"/>
      <c r="G22" s="91"/>
      <c r="H22" s="91"/>
    </row>
    <row r="23" spans="1:9" s="53" customFormat="1" ht="12.75" hidden="1" x14ac:dyDescent="0.2">
      <c r="A23" s="92" t="s">
        <v>87</v>
      </c>
      <c r="B23" s="93">
        <v>8.5000000000000006E-2</v>
      </c>
      <c r="C23" s="94">
        <f>I18*B23</f>
        <v>2214.2110256640003</v>
      </c>
      <c r="D23" s="95"/>
      <c r="E23" s="95"/>
      <c r="F23" s="95"/>
      <c r="G23" s="95"/>
      <c r="H23" s="91"/>
    </row>
    <row r="24" spans="1:9" s="53" customFormat="1" ht="12.75" hidden="1" x14ac:dyDescent="0.2">
      <c r="A24" s="92"/>
      <c r="B24" s="93"/>
      <c r="C24" s="94"/>
      <c r="D24" s="95"/>
      <c r="E24" s="95"/>
      <c r="F24" s="95"/>
      <c r="G24" s="95"/>
      <c r="H24" s="91"/>
    </row>
    <row r="25" spans="1:9" s="53" customFormat="1" ht="15.75" hidden="1" customHeight="1" x14ac:dyDescent="0.2">
      <c r="A25" s="96" t="s">
        <v>88</v>
      </c>
      <c r="B25" s="97"/>
      <c r="C25" s="98"/>
      <c r="D25" s="91"/>
      <c r="E25" s="91"/>
      <c r="F25" s="91"/>
      <c r="G25" s="91"/>
      <c r="H25" s="91"/>
    </row>
    <row r="26" spans="1:9" s="53" customFormat="1" ht="12.95" hidden="1" customHeight="1" x14ac:dyDescent="0.2">
      <c r="A26" s="92" t="s">
        <v>89</v>
      </c>
      <c r="B26" s="93">
        <v>0.1091</v>
      </c>
      <c r="C26" s="94">
        <f>I18*B26</f>
        <v>2842.0049752934401</v>
      </c>
      <c r="D26" s="91"/>
      <c r="E26" s="91"/>
      <c r="F26" s="91"/>
      <c r="G26" s="91"/>
      <c r="H26" s="91"/>
    </row>
    <row r="27" spans="1:9" s="53" customFormat="1" ht="12.75" hidden="1" x14ac:dyDescent="0.2">
      <c r="A27" s="92" t="s">
        <v>90</v>
      </c>
      <c r="B27" s="93">
        <v>9.4500000000000001E-2</v>
      </c>
      <c r="C27" s="94">
        <f>I18*B27</f>
        <v>2461.6816697088002</v>
      </c>
      <c r="D27" s="91"/>
      <c r="E27" s="91"/>
      <c r="F27" s="91"/>
      <c r="G27" s="91"/>
      <c r="H27" s="91"/>
    </row>
    <row r="28" spans="1:9" s="53" customFormat="1" ht="12.75" hidden="1" x14ac:dyDescent="0.2">
      <c r="A28" s="92" t="s">
        <v>91</v>
      </c>
      <c r="B28" s="99">
        <v>5.4999999999999997E-3</v>
      </c>
      <c r="C28" s="94">
        <f>I18*B28</f>
        <v>143.27247813120002</v>
      </c>
      <c r="D28" s="91"/>
      <c r="E28" s="91"/>
      <c r="F28" s="91"/>
      <c r="G28" s="91"/>
      <c r="H28" s="91"/>
    </row>
    <row r="29" spans="1:9" s="53" customFormat="1" ht="12.75" hidden="1" x14ac:dyDescent="0.2">
      <c r="A29" s="92" t="s">
        <v>92</v>
      </c>
      <c r="B29" s="93">
        <v>0.5</v>
      </c>
      <c r="C29" s="94">
        <f>I18*B29</f>
        <v>13024.770739200001</v>
      </c>
      <c r="D29" s="91"/>
      <c r="E29" s="91"/>
      <c r="F29" s="91"/>
      <c r="G29" s="91"/>
      <c r="H29" s="91"/>
    </row>
    <row r="30" spans="1:9" s="53" customFormat="1" ht="12.75" hidden="1" x14ac:dyDescent="0.2">
      <c r="A30" s="92"/>
      <c r="B30" s="100"/>
      <c r="C30" s="94"/>
      <c r="D30" s="91"/>
      <c r="E30" s="91"/>
      <c r="F30" s="91"/>
      <c r="G30" s="91"/>
      <c r="H30" s="91"/>
    </row>
    <row r="31" spans="1:9" s="53" customFormat="1" ht="15.75" hidden="1" customHeight="1" x14ac:dyDescent="0.2">
      <c r="A31" s="96" t="s">
        <v>93</v>
      </c>
      <c r="B31" s="97"/>
      <c r="C31" s="101"/>
      <c r="D31" s="91"/>
      <c r="E31" s="91"/>
      <c r="F31" s="91"/>
      <c r="G31" s="91"/>
      <c r="H31" s="91"/>
    </row>
    <row r="32" spans="1:9" s="53" customFormat="1" ht="10.5" hidden="1" customHeight="1" x14ac:dyDescent="0.2">
      <c r="A32" s="96"/>
      <c r="B32" s="97"/>
      <c r="C32" s="101"/>
      <c r="D32" s="91"/>
      <c r="E32" s="91"/>
      <c r="F32" s="91"/>
      <c r="G32" s="91"/>
      <c r="H32" s="91"/>
    </row>
    <row r="33" spans="1:9" s="53" customFormat="1" ht="12.95" hidden="1" customHeight="1" x14ac:dyDescent="0.2">
      <c r="A33" s="92" t="s">
        <v>94</v>
      </c>
      <c r="B33" s="93">
        <v>7.9299999999999995E-2</v>
      </c>
      <c r="C33" s="94">
        <f>I18*B33</f>
        <v>2065.7286392371202</v>
      </c>
      <c r="D33" s="91"/>
      <c r="E33" s="91"/>
      <c r="F33" s="91"/>
      <c r="G33" s="91"/>
      <c r="H33" s="91"/>
    </row>
    <row r="34" spans="1:9" s="53" customFormat="1" ht="12.95" hidden="1" customHeight="1" x14ac:dyDescent="0.2">
      <c r="A34" s="92"/>
      <c r="B34" s="93"/>
      <c r="C34" s="94"/>
      <c r="D34" s="91"/>
      <c r="E34" s="91"/>
      <c r="F34" s="91"/>
      <c r="G34" s="91"/>
      <c r="H34" s="91"/>
    </row>
    <row r="35" spans="1:9" s="53" customFormat="1" ht="15.75" hidden="1" customHeight="1" x14ac:dyDescent="0.2">
      <c r="A35" s="96" t="s">
        <v>95</v>
      </c>
      <c r="B35" s="97"/>
      <c r="C35" s="101"/>
      <c r="D35" s="91"/>
      <c r="E35" s="91"/>
      <c r="F35" s="91"/>
      <c r="G35" s="91"/>
      <c r="H35" s="91"/>
    </row>
    <row r="36" spans="1:9" s="53" customFormat="1" ht="8.25" hidden="1" customHeight="1" x14ac:dyDescent="0.2">
      <c r="A36" s="96"/>
      <c r="B36" s="102"/>
      <c r="C36" s="101"/>
      <c r="D36" s="91"/>
      <c r="E36" s="91"/>
      <c r="F36" s="91"/>
      <c r="G36" s="91"/>
      <c r="H36" s="91"/>
    </row>
    <row r="37" spans="1:9" s="53" customFormat="1" ht="12.95" hidden="1" customHeight="1" x14ac:dyDescent="0.2">
      <c r="A37" s="92" t="s">
        <v>96</v>
      </c>
      <c r="B37" s="103" t="s">
        <v>97</v>
      </c>
      <c r="C37" s="94">
        <f>50/100*C23</f>
        <v>1107.1055128320002</v>
      </c>
      <c r="D37" s="91"/>
      <c r="E37" s="91"/>
      <c r="F37" s="91"/>
      <c r="G37" s="91"/>
      <c r="H37" s="91"/>
    </row>
    <row r="38" spans="1:9" s="53" customFormat="1" ht="12.75" hidden="1" x14ac:dyDescent="0.2">
      <c r="A38" s="104"/>
      <c r="B38" s="105"/>
      <c r="C38" s="106"/>
      <c r="D38" s="91"/>
      <c r="E38" s="91"/>
      <c r="F38" s="91"/>
      <c r="G38" s="91"/>
      <c r="H38" s="91"/>
    </row>
    <row r="39" spans="1:9" s="53" customFormat="1" ht="14.25" customHeight="1" x14ac:dyDescent="0.2">
      <c r="A39" s="107" t="s">
        <v>98</v>
      </c>
      <c r="B39" s="108">
        <v>0.85</v>
      </c>
      <c r="C39" s="266">
        <f>I18*B39</f>
        <v>22142.11025664</v>
      </c>
      <c r="D39" s="109"/>
      <c r="E39" s="110"/>
      <c r="F39" s="110"/>
      <c r="G39" s="110"/>
      <c r="H39" s="111"/>
    </row>
    <row r="40" spans="1:9" s="53" customFormat="1" ht="7.5" customHeight="1" x14ac:dyDescent="0.2">
      <c r="B40" s="87"/>
    </row>
    <row r="41" spans="1:9" s="53" customFormat="1" ht="14.25" customHeight="1" x14ac:dyDescent="0.2">
      <c r="A41" s="112"/>
      <c r="C41" s="113"/>
      <c r="D41" s="328" t="s">
        <v>99</v>
      </c>
      <c r="E41" s="329"/>
      <c r="F41" s="114"/>
      <c r="G41" s="114"/>
      <c r="H41" s="330">
        <f>C39+I18</f>
        <v>48191.651735040003</v>
      </c>
      <c r="I41" s="331"/>
    </row>
    <row r="42" spans="1:9" customFormat="1" ht="20.25" customHeight="1" x14ac:dyDescent="0.25">
      <c r="A42" s="52" t="s">
        <v>100</v>
      </c>
      <c r="B42" s="53"/>
      <c r="C42" s="53"/>
      <c r="D42" s="53"/>
      <c r="E42" s="53"/>
      <c r="F42" s="53"/>
      <c r="G42" s="53"/>
      <c r="H42" s="53"/>
    </row>
    <row r="43" spans="1:9" customFormat="1" ht="24" customHeight="1" x14ac:dyDescent="0.25">
      <c r="A43" s="54" t="s">
        <v>17</v>
      </c>
      <c r="B43" s="54" t="s">
        <v>101</v>
      </c>
      <c r="C43" s="54" t="s">
        <v>27</v>
      </c>
      <c r="D43" s="115" t="s">
        <v>102</v>
      </c>
      <c r="E43" s="116"/>
      <c r="F43" s="117"/>
      <c r="G43" s="117"/>
      <c r="H43" s="117"/>
    </row>
    <row r="44" spans="1:9" customFormat="1" ht="12" customHeight="1" x14ac:dyDescent="0.25">
      <c r="A44" s="118" t="s">
        <v>29</v>
      </c>
      <c r="B44" s="119">
        <v>500</v>
      </c>
      <c r="C44" s="120">
        <v>10</v>
      </c>
      <c r="D44" s="121">
        <f>B44*C44</f>
        <v>5000</v>
      </c>
      <c r="E44" s="122"/>
      <c r="F44" s="123"/>
      <c r="G44" s="123"/>
      <c r="H44" s="124"/>
      <c r="I44" s="109"/>
    </row>
    <row r="45" spans="1:9" customFormat="1" ht="12" customHeight="1" x14ac:dyDescent="0.25">
      <c r="A45" s="125" t="s">
        <v>103</v>
      </c>
      <c r="B45" s="126">
        <v>500</v>
      </c>
      <c r="C45" s="120">
        <v>10</v>
      </c>
      <c r="D45" s="121">
        <f>B45*C45</f>
        <v>5000</v>
      </c>
      <c r="E45" s="122"/>
      <c r="F45" s="123"/>
      <c r="G45" s="123"/>
      <c r="H45" s="124"/>
      <c r="I45" s="109"/>
    </row>
    <row r="46" spans="1:9" customFormat="1" ht="12" customHeight="1" x14ac:dyDescent="0.25">
      <c r="A46" s="125" t="s">
        <v>104</v>
      </c>
      <c r="B46" s="126">
        <v>48.12</v>
      </c>
      <c r="C46" s="127">
        <v>10</v>
      </c>
      <c r="D46" s="121">
        <f>B46*C46</f>
        <v>481.2</v>
      </c>
      <c r="E46" s="122"/>
      <c r="F46" s="123"/>
      <c r="G46" s="123"/>
      <c r="H46" s="124"/>
      <c r="I46" s="109"/>
    </row>
    <row r="47" spans="1:9" customFormat="1" ht="12" customHeight="1" x14ac:dyDescent="0.25">
      <c r="A47" s="118" t="s">
        <v>143</v>
      </c>
      <c r="B47" s="119" t="s">
        <v>105</v>
      </c>
      <c r="C47" s="222">
        <f>13*2*100</f>
        <v>2600</v>
      </c>
      <c r="D47" s="121">
        <f>C47</f>
        <v>2600</v>
      </c>
      <c r="E47" s="122"/>
      <c r="F47" s="123"/>
      <c r="G47" s="123"/>
      <c r="H47" s="124"/>
      <c r="I47" s="109"/>
    </row>
    <row r="48" spans="1:9" customFormat="1" ht="12" customHeight="1" x14ac:dyDescent="0.25">
      <c r="A48" s="118" t="s">
        <v>144</v>
      </c>
      <c r="B48" s="119">
        <v>150</v>
      </c>
      <c r="C48" s="222">
        <v>10</v>
      </c>
      <c r="D48" s="121">
        <f>B48*C48</f>
        <v>1500</v>
      </c>
      <c r="E48" s="122"/>
      <c r="F48" s="123"/>
      <c r="G48" s="123"/>
      <c r="H48" s="124"/>
      <c r="I48" s="109"/>
    </row>
    <row r="49" spans="1:9" customFormat="1" ht="12.95" customHeight="1" x14ac:dyDescent="0.25">
      <c r="A49" s="128" t="s">
        <v>106</v>
      </c>
      <c r="B49" s="119">
        <v>452.67</v>
      </c>
      <c r="C49" s="129">
        <v>10</v>
      </c>
      <c r="D49" s="121">
        <f>B49*C49</f>
        <v>4526.7</v>
      </c>
      <c r="E49" s="122"/>
      <c r="F49" s="123"/>
      <c r="G49" s="123"/>
      <c r="H49" s="124"/>
      <c r="I49" s="109"/>
    </row>
    <row r="50" spans="1:9" customFormat="1" ht="12.95" customHeight="1" x14ac:dyDescent="0.25">
      <c r="A50" s="128" t="s">
        <v>107</v>
      </c>
      <c r="B50" s="119" t="s">
        <v>105</v>
      </c>
      <c r="C50" s="120">
        <v>1500</v>
      </c>
      <c r="D50" s="121">
        <v>900</v>
      </c>
      <c r="E50" s="122"/>
      <c r="F50" s="123"/>
      <c r="G50" s="123"/>
      <c r="H50" s="124"/>
      <c r="I50" s="109"/>
    </row>
    <row r="51" spans="1:9" customFormat="1" ht="12.95" customHeight="1" x14ac:dyDescent="0.25">
      <c r="A51" s="128" t="s">
        <v>108</v>
      </c>
      <c r="B51" s="119" t="s">
        <v>105</v>
      </c>
      <c r="C51" s="129">
        <v>1000</v>
      </c>
      <c r="D51" s="121">
        <v>800</v>
      </c>
      <c r="E51" s="122"/>
      <c r="F51" s="123"/>
      <c r="G51" s="123"/>
      <c r="H51" s="124"/>
      <c r="I51" s="109"/>
    </row>
    <row r="52" spans="1:9" customFormat="1" ht="12.95" customHeight="1" x14ac:dyDescent="0.25">
      <c r="A52" s="128" t="s">
        <v>146</v>
      </c>
      <c r="B52" s="119"/>
      <c r="C52" s="130"/>
      <c r="D52" s="131"/>
      <c r="E52" s="132"/>
      <c r="F52" s="133"/>
      <c r="G52" s="133"/>
      <c r="H52" s="134"/>
      <c r="I52" s="109"/>
    </row>
    <row r="53" spans="1:9" customFormat="1" ht="12.95" customHeight="1" x14ac:dyDescent="0.25">
      <c r="A53" s="229"/>
      <c r="B53" s="230"/>
      <c r="C53" s="231"/>
      <c r="D53" s="232"/>
      <c r="E53" s="132"/>
      <c r="F53" s="133"/>
      <c r="G53" s="133"/>
      <c r="H53" s="134"/>
      <c r="I53" s="109"/>
    </row>
    <row r="54" spans="1:9" customFormat="1" ht="14.25" customHeight="1" x14ac:dyDescent="0.25">
      <c r="B54" s="135" t="s">
        <v>109</v>
      </c>
      <c r="C54" s="135"/>
      <c r="D54" s="136">
        <f>SUM(D44:D51,)</f>
        <v>20807.900000000001</v>
      </c>
      <c r="E54" s="332"/>
      <c r="F54" s="333"/>
      <c r="G54" s="333"/>
      <c r="H54" s="333"/>
    </row>
    <row r="55" spans="1:9" s="53" customFormat="1" ht="7.5" customHeight="1" x14ac:dyDescent="0.2">
      <c r="B55" s="87"/>
    </row>
    <row r="56" spans="1:9" s="53" customFormat="1" ht="14.25" customHeight="1" x14ac:dyDescent="0.2">
      <c r="A56" s="112"/>
      <c r="C56" s="137" t="s">
        <v>110</v>
      </c>
      <c r="D56" s="137"/>
      <c r="E56" s="138"/>
      <c r="F56" s="139"/>
      <c r="G56" s="139"/>
      <c r="H56" s="330">
        <f>H41+D54</f>
        <v>68999.551735040004</v>
      </c>
      <c r="I56" s="331"/>
    </row>
    <row r="57" spans="1:9" s="53" customFormat="1" ht="21" customHeight="1" x14ac:dyDescent="0.25">
      <c r="A57" s="140" t="s">
        <v>111</v>
      </c>
    </row>
    <row r="58" spans="1:9" s="53" customFormat="1" ht="24" customHeight="1" x14ac:dyDescent="0.25">
      <c r="A58" s="141" t="s">
        <v>17</v>
      </c>
      <c r="B58" s="142" t="s">
        <v>18</v>
      </c>
      <c r="C58" s="142" t="s">
        <v>19</v>
      </c>
      <c r="D58" s="143" t="s">
        <v>112</v>
      </c>
      <c r="E58" s="144"/>
      <c r="F58" s="145"/>
      <c r="G58" s="145"/>
      <c r="H58"/>
    </row>
    <row r="59" spans="1:9" s="53" customFormat="1" ht="12.95" customHeight="1" x14ac:dyDescent="0.25">
      <c r="A59" s="146" t="s">
        <v>113</v>
      </c>
      <c r="B59" s="147">
        <v>1</v>
      </c>
      <c r="C59" s="148">
        <v>1000</v>
      </c>
      <c r="D59" s="149">
        <f t="shared" ref="D59:D63" si="4">C59*B59</f>
        <v>1000</v>
      </c>
      <c r="E59" s="150"/>
      <c r="F59" s="151"/>
      <c r="G59" s="151"/>
      <c r="H59"/>
    </row>
    <row r="60" spans="1:9" s="53" customFormat="1" ht="12.95" customHeight="1" x14ac:dyDescent="0.25">
      <c r="A60" s="152" t="s">
        <v>114</v>
      </c>
      <c r="B60" s="147">
        <v>5</v>
      </c>
      <c r="C60" s="148">
        <v>750</v>
      </c>
      <c r="D60" s="149">
        <f t="shared" si="4"/>
        <v>3750</v>
      </c>
      <c r="E60" s="150"/>
      <c r="F60" s="151"/>
      <c r="G60" s="151"/>
      <c r="H60"/>
    </row>
    <row r="61" spans="1:9" s="53" customFormat="1" ht="12.95" customHeight="1" x14ac:dyDescent="0.25">
      <c r="A61" s="146" t="s">
        <v>115</v>
      </c>
      <c r="B61" s="147">
        <v>1</v>
      </c>
      <c r="C61" s="148">
        <v>110</v>
      </c>
      <c r="D61" s="149">
        <f t="shared" si="4"/>
        <v>110</v>
      </c>
      <c r="E61" s="150"/>
      <c r="F61" s="151"/>
      <c r="G61" s="151"/>
      <c r="H61"/>
    </row>
    <row r="62" spans="1:9" s="53" customFormat="1" ht="12.95" customHeight="1" x14ac:dyDescent="0.25">
      <c r="A62" s="146" t="s">
        <v>116</v>
      </c>
      <c r="B62" s="147">
        <v>1</v>
      </c>
      <c r="C62" s="148">
        <v>110</v>
      </c>
      <c r="D62" s="149">
        <f t="shared" si="4"/>
        <v>110</v>
      </c>
      <c r="E62" s="150"/>
      <c r="F62" s="151"/>
      <c r="G62" s="151"/>
      <c r="H62"/>
    </row>
    <row r="63" spans="1:9" s="53" customFormat="1" ht="12.95" customHeight="1" x14ac:dyDescent="0.25">
      <c r="A63" s="146" t="s">
        <v>117</v>
      </c>
      <c r="B63" s="147">
        <v>2</v>
      </c>
      <c r="C63" s="148">
        <v>250</v>
      </c>
      <c r="D63" s="149">
        <f t="shared" si="4"/>
        <v>500</v>
      </c>
      <c r="E63" s="150"/>
      <c r="F63" s="151"/>
      <c r="G63" s="151"/>
      <c r="H63"/>
    </row>
    <row r="64" spans="1:9" s="53" customFormat="1" ht="12.95" customHeight="1" x14ac:dyDescent="0.25">
      <c r="A64" s="146" t="s">
        <v>118</v>
      </c>
      <c r="B64" s="147" t="s">
        <v>105</v>
      </c>
      <c r="C64" s="148"/>
      <c r="D64" s="149">
        <f>C64</f>
        <v>0</v>
      </c>
      <c r="E64" s="150"/>
      <c r="F64" s="151"/>
      <c r="G64" s="151"/>
      <c r="H64"/>
    </row>
    <row r="65" spans="1:8" s="53" customFormat="1" ht="12.95" customHeight="1" x14ac:dyDescent="0.25">
      <c r="A65" s="153" t="s">
        <v>119</v>
      </c>
      <c r="B65" s="154" t="s">
        <v>105</v>
      </c>
      <c r="C65" s="155"/>
      <c r="D65" s="149">
        <f>C65</f>
        <v>0</v>
      </c>
      <c r="E65" s="150"/>
      <c r="F65" s="151"/>
      <c r="G65" s="151"/>
      <c r="H65"/>
    </row>
    <row r="66" spans="1:8" s="53" customFormat="1" ht="12.95" customHeight="1" x14ac:dyDescent="0.25">
      <c r="A66" s="156" t="s">
        <v>120</v>
      </c>
      <c r="B66" s="157">
        <v>1</v>
      </c>
      <c r="C66" s="158" t="s">
        <v>105</v>
      </c>
      <c r="D66" s="159">
        <v>10800</v>
      </c>
      <c r="E66" s="160"/>
      <c r="F66" s="161"/>
      <c r="G66" s="161"/>
      <c r="H66"/>
    </row>
    <row r="67" spans="1:8" s="53" customFormat="1" ht="14.25" customHeight="1" x14ac:dyDescent="0.25">
      <c r="A67" s="162"/>
      <c r="B67" s="334" t="s">
        <v>122</v>
      </c>
      <c r="C67" s="334"/>
      <c r="D67" s="163">
        <f>SUM(D59:D66)</f>
        <v>16270</v>
      </c>
      <c r="E67" s="164"/>
      <c r="F67" s="165"/>
      <c r="G67" s="165"/>
      <c r="H67"/>
    </row>
    <row r="68" spans="1:8" s="53" customFormat="1" ht="14.25" customHeight="1" x14ac:dyDescent="0.25">
      <c r="A68" s="162"/>
      <c r="C68"/>
      <c r="D68"/>
      <c r="E68"/>
      <c r="F68"/>
      <c r="G68"/>
      <c r="H68"/>
    </row>
    <row r="69" spans="1:8" s="53" customFormat="1" ht="14.25" customHeight="1" x14ac:dyDescent="0.25">
      <c r="A69" s="162"/>
      <c r="C69"/>
      <c r="D69"/>
      <c r="E69"/>
      <c r="F69"/>
      <c r="G69"/>
      <c r="H69"/>
    </row>
    <row r="70" spans="1:8" s="53" customFormat="1" ht="14.25" customHeight="1" x14ac:dyDescent="0.25">
      <c r="A70" s="166"/>
      <c r="C70"/>
      <c r="D70"/>
      <c r="E70" s="167"/>
      <c r="F70" s="167"/>
      <c r="G70" s="167"/>
      <c r="H70"/>
    </row>
    <row r="71" spans="1:8" customFormat="1" ht="20.25" customHeight="1" x14ac:dyDescent="0.25">
      <c r="A71" s="52" t="s">
        <v>123</v>
      </c>
      <c r="B71" s="53"/>
      <c r="C71" s="53"/>
      <c r="D71" s="53"/>
      <c r="E71" s="53"/>
      <c r="F71" s="53"/>
      <c r="G71" s="53"/>
      <c r="H71" s="53"/>
    </row>
    <row r="72" spans="1:8" customFormat="1" ht="24" customHeight="1" x14ac:dyDescent="0.25">
      <c r="A72" s="54" t="s">
        <v>17</v>
      </c>
      <c r="B72" s="168" t="s">
        <v>18</v>
      </c>
      <c r="C72" s="168" t="s">
        <v>19</v>
      </c>
      <c r="D72" s="168" t="s">
        <v>112</v>
      </c>
      <c r="E72" s="169"/>
      <c r="F72" s="169"/>
      <c r="G72" s="169"/>
    </row>
    <row r="73" spans="1:8" customFormat="1" ht="13.5" customHeight="1" x14ac:dyDescent="0.25">
      <c r="A73" s="170" t="s">
        <v>145</v>
      </c>
      <c r="B73" s="171">
        <v>1</v>
      </c>
      <c r="C73" s="172" t="s">
        <v>105</v>
      </c>
      <c r="D73" s="173">
        <f>700*10</f>
        <v>7000</v>
      </c>
      <c r="E73" s="174"/>
      <c r="F73" s="174"/>
      <c r="G73" s="174"/>
    </row>
    <row r="74" spans="1:8" customFormat="1" ht="12" customHeight="1" x14ac:dyDescent="0.25">
      <c r="A74" s="175" t="s">
        <v>124</v>
      </c>
      <c r="B74" s="176">
        <v>1</v>
      </c>
      <c r="C74" s="177" t="s">
        <v>105</v>
      </c>
      <c r="D74" s="178">
        <f>800*10</f>
        <v>8000</v>
      </c>
      <c r="E74" s="174"/>
      <c r="F74" s="174"/>
      <c r="G74" s="174"/>
    </row>
    <row r="75" spans="1:8" customFormat="1" ht="12.95" customHeight="1" x14ac:dyDescent="0.25">
      <c r="A75" s="175" t="s">
        <v>125</v>
      </c>
      <c r="B75" s="179">
        <v>5</v>
      </c>
      <c r="C75" s="180">
        <v>1850</v>
      </c>
      <c r="D75" s="178">
        <f>B75*C75</f>
        <v>9250</v>
      </c>
      <c r="E75" s="174"/>
      <c r="F75" s="174"/>
      <c r="G75" s="174"/>
    </row>
    <row r="76" spans="1:8" customFormat="1" ht="14.25" customHeight="1" x14ac:dyDescent="0.25">
      <c r="A76" s="181"/>
      <c r="B76" s="335" t="s">
        <v>126</v>
      </c>
      <c r="C76" s="336"/>
      <c r="D76" s="182">
        <f>SUM(D73:D75)</f>
        <v>24250</v>
      </c>
      <c r="E76" s="183"/>
      <c r="F76" s="183"/>
      <c r="G76" s="183"/>
    </row>
    <row r="77" spans="1:8" customFormat="1" ht="6" customHeight="1" x14ac:dyDescent="0.25"/>
    <row r="78" spans="1:8" customFormat="1" ht="20.25" hidden="1" customHeight="1" x14ac:dyDescent="0.25">
      <c r="A78" s="140" t="s">
        <v>127</v>
      </c>
      <c r="B78" s="53"/>
      <c r="C78" s="53"/>
      <c r="D78" s="53"/>
      <c r="E78" s="53"/>
      <c r="F78" s="53"/>
      <c r="G78" s="53"/>
      <c r="H78" s="53"/>
    </row>
    <row r="79" spans="1:8" customFormat="1" ht="24" hidden="1" customHeight="1" x14ac:dyDescent="0.25">
      <c r="A79" s="184" t="s">
        <v>17</v>
      </c>
      <c r="B79" s="185" t="s">
        <v>18</v>
      </c>
      <c r="C79" s="185" t="s">
        <v>19</v>
      </c>
      <c r="D79" s="185" t="s">
        <v>112</v>
      </c>
      <c r="E79" s="169"/>
      <c r="F79" s="169"/>
      <c r="G79" s="169"/>
    </row>
    <row r="80" spans="1:8" customFormat="1" ht="13.5" hidden="1" customHeight="1" x14ac:dyDescent="0.25">
      <c r="A80" s="186" t="s">
        <v>128</v>
      </c>
      <c r="B80" s="187" t="s">
        <v>129</v>
      </c>
      <c r="C80" s="188" t="s">
        <v>129</v>
      </c>
      <c r="D80" s="188">
        <v>75000</v>
      </c>
      <c r="E80" s="174"/>
      <c r="F80" s="174"/>
      <c r="G80" s="174"/>
    </row>
    <row r="81" spans="1:12" customFormat="1" ht="12.95" hidden="1" customHeight="1" x14ac:dyDescent="0.25">
      <c r="A81" s="189"/>
      <c r="B81" s="190"/>
      <c r="C81" s="191"/>
      <c r="D81" s="191"/>
      <c r="E81" s="174"/>
      <c r="F81" s="174"/>
      <c r="G81" s="174"/>
    </row>
    <row r="82" spans="1:12" customFormat="1" ht="14.25" hidden="1" customHeight="1" x14ac:dyDescent="0.25">
      <c r="A82" s="192"/>
      <c r="B82" s="337" t="s">
        <v>130</v>
      </c>
      <c r="C82" s="338"/>
      <c r="D82" s="193"/>
      <c r="E82" s="183"/>
      <c r="F82" s="183"/>
      <c r="G82" s="183"/>
    </row>
    <row r="83" spans="1:12" customFormat="1" ht="15.75" customHeight="1" x14ac:dyDescent="0.25">
      <c r="A83" s="192"/>
      <c r="B83" s="192"/>
      <c r="C83" s="192"/>
      <c r="D83" s="192"/>
      <c r="E83" s="192"/>
    </row>
    <row r="84" spans="1:12" customFormat="1" ht="20.25" hidden="1" customHeight="1" x14ac:dyDescent="0.25">
      <c r="A84" s="140" t="s">
        <v>131</v>
      </c>
      <c r="B84" s="53"/>
      <c r="C84" s="53"/>
      <c r="D84" s="53"/>
      <c r="E84" s="53"/>
      <c r="F84" s="53"/>
      <c r="G84" s="53"/>
      <c r="H84" s="53"/>
    </row>
    <row r="85" spans="1:12" customFormat="1" ht="24" hidden="1" customHeight="1" x14ac:dyDescent="0.25">
      <c r="A85" s="54" t="s">
        <v>17</v>
      </c>
      <c r="B85" s="168" t="s">
        <v>18</v>
      </c>
      <c r="C85" s="168" t="s">
        <v>19</v>
      </c>
      <c r="D85" s="194" t="s">
        <v>112</v>
      </c>
      <c r="E85" s="195"/>
      <c r="F85" s="169"/>
      <c r="G85" s="169"/>
    </row>
    <row r="86" spans="1:12" customFormat="1" ht="12.95" hidden="1" customHeight="1" x14ac:dyDescent="0.25">
      <c r="A86" s="196" t="s">
        <v>132</v>
      </c>
      <c r="B86" s="190" t="s">
        <v>129</v>
      </c>
      <c r="C86" s="190" t="s">
        <v>129</v>
      </c>
      <c r="D86" s="197">
        <v>12000</v>
      </c>
      <c r="E86" s="198"/>
      <c r="F86" s="199"/>
      <c r="G86" s="199"/>
    </row>
    <row r="87" spans="1:12" customFormat="1" ht="14.25" hidden="1" customHeight="1" x14ac:dyDescent="0.25">
      <c r="B87" s="328" t="s">
        <v>133</v>
      </c>
      <c r="C87" s="329"/>
      <c r="D87" s="200">
        <f>D86</f>
        <v>12000</v>
      </c>
      <c r="E87" s="264"/>
      <c r="F87" s="265"/>
      <c r="G87" s="265"/>
    </row>
    <row r="88" spans="1:12" customFormat="1" ht="13.5" hidden="1" customHeight="1" x14ac:dyDescent="0.25">
      <c r="A88" s="339" t="s">
        <v>134</v>
      </c>
      <c r="B88" s="340"/>
      <c r="C88" s="340"/>
      <c r="D88" s="341"/>
      <c r="E88" s="201">
        <f>I18+C39+D54+D67+D76+D87</f>
        <v>121519.55173504</v>
      </c>
      <c r="F88" s="265"/>
      <c r="G88" s="265"/>
      <c r="H88" s="265"/>
      <c r="I88" s="265"/>
    </row>
    <row r="89" spans="1:12" customFormat="1" ht="17.25" customHeight="1" x14ac:dyDescent="0.25"/>
    <row r="90" spans="1:12" s="51" customFormat="1" ht="21.75" customHeight="1" x14ac:dyDescent="0.2">
      <c r="A90" s="48" t="s">
        <v>135</v>
      </c>
      <c r="B90" s="50"/>
      <c r="C90" s="50"/>
      <c r="D90" s="50"/>
      <c r="E90" s="50"/>
      <c r="F90" s="50"/>
      <c r="G90" s="50"/>
      <c r="H90" s="50"/>
      <c r="I90" s="50"/>
    </row>
    <row r="91" spans="1:12" customFormat="1" ht="16.5" customHeight="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customFormat="1" ht="9" customHeight="1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customFormat="1" ht="21" customHeight="1" x14ac:dyDescent="0.25">
      <c r="A93" s="202" t="s">
        <v>17</v>
      </c>
      <c r="B93" s="202" t="s">
        <v>36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customFormat="1" x14ac:dyDescent="0.25">
      <c r="A94" s="203" t="s">
        <v>136</v>
      </c>
      <c r="B94" s="204">
        <v>0.08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customFormat="1" x14ac:dyDescent="0.25">
      <c r="A95" s="92" t="s">
        <v>137</v>
      </c>
      <c r="B95" s="103">
        <v>0.01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customFormat="1" x14ac:dyDescent="0.25">
      <c r="A96" s="92" t="s">
        <v>138</v>
      </c>
      <c r="B96" s="103">
        <v>0.08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customFormat="1" x14ac:dyDescent="0.25">
      <c r="A97" s="92" t="s">
        <v>139</v>
      </c>
      <c r="B97" s="103">
        <v>7.6799999999999993E-2</v>
      </c>
      <c r="C97" s="53"/>
      <c r="D97" s="53"/>
      <c r="E97" s="205"/>
      <c r="F97" s="205"/>
      <c r="G97" s="205"/>
      <c r="H97" s="53"/>
      <c r="I97" s="53"/>
      <c r="J97" s="53"/>
      <c r="K97" s="53"/>
      <c r="L97" s="53"/>
    </row>
    <row r="98" spans="1:12" customFormat="1" x14ac:dyDescent="0.25">
      <c r="A98" s="92" t="s">
        <v>140</v>
      </c>
      <c r="B98" s="103">
        <v>0.03</v>
      </c>
      <c r="C98" s="53"/>
      <c r="D98" s="53"/>
      <c r="E98" s="206"/>
      <c r="F98" s="206"/>
      <c r="G98" s="206"/>
      <c r="H98" s="53"/>
      <c r="I98" s="53"/>
      <c r="J98" s="53"/>
      <c r="K98" s="53"/>
      <c r="L98" s="53"/>
    </row>
    <row r="99" spans="1:12" customFormat="1" x14ac:dyDescent="0.25">
      <c r="A99" s="92" t="s">
        <v>42</v>
      </c>
      <c r="B99" s="103">
        <v>6.4999999999999997E-3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customFormat="1" x14ac:dyDescent="0.25">
      <c r="A100" s="104" t="s">
        <v>41</v>
      </c>
      <c r="B100" s="105">
        <v>0.05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customFormat="1" ht="9" customHeight="1" x14ac:dyDescent="0.25">
      <c r="A101" s="53"/>
      <c r="B101" s="207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 customFormat="1" ht="17.25" customHeight="1" x14ac:dyDescent="0.25">
      <c r="A102" s="208" t="s">
        <v>141</v>
      </c>
      <c r="B102" s="209">
        <f>SUM(B94:B100)</f>
        <v>0.33329999999999993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customFormat="1" ht="9" customHeight="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 customFormat="1" ht="9" customHeight="1" x14ac:dyDescent="0.25">
      <c r="A104" s="210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customFormat="1" ht="15" customHeight="1" x14ac:dyDescent="0.25">
      <c r="A105" s="211" t="s">
        <v>142</v>
      </c>
      <c r="B105" s="212"/>
      <c r="C105" s="212"/>
      <c r="D105" s="323">
        <f>E88/(100%-B102)</f>
        <v>182270.21409185539</v>
      </c>
      <c r="E105" s="323"/>
      <c r="F105" s="213"/>
      <c r="G105" s="213"/>
      <c r="H105" s="51"/>
      <c r="I105" s="47"/>
      <c r="J105" s="53"/>
      <c r="K105" s="53"/>
      <c r="L105" s="53"/>
    </row>
    <row r="106" spans="1:12" s="53" customFormat="1" ht="15.75" customHeight="1" x14ac:dyDescent="0.2"/>
    <row r="107" spans="1:12" s="53" customFormat="1" ht="15.75" customHeight="1" x14ac:dyDescent="0.25">
      <c r="A107" s="214"/>
    </row>
    <row r="108" spans="1:12" s="53" customFormat="1" x14ac:dyDescent="0.2">
      <c r="A108" s="215"/>
      <c r="B108" s="216"/>
      <c r="C108" s="217"/>
    </row>
    <row r="109" spans="1:12" s="53" customFormat="1" x14ac:dyDescent="0.2">
      <c r="A109" s="241"/>
      <c r="B109" s="245" t="s">
        <v>153</v>
      </c>
      <c r="C109" s="245" t="s">
        <v>154</v>
      </c>
      <c r="D109" s="238" t="s">
        <v>151</v>
      </c>
      <c r="E109" s="238" t="s">
        <v>152</v>
      </c>
      <c r="F109" s="238" t="s">
        <v>155</v>
      </c>
      <c r="G109" s="238" t="s">
        <v>150</v>
      </c>
    </row>
    <row r="110" spans="1:12" s="53" customFormat="1" ht="12.75" x14ac:dyDescent="0.2">
      <c r="A110" s="62" t="s">
        <v>74</v>
      </c>
      <c r="B110" s="63">
        <v>1</v>
      </c>
      <c r="C110" s="242">
        <v>25</v>
      </c>
      <c r="D110" s="238">
        <v>5.4</v>
      </c>
      <c r="E110" s="238">
        <v>12.96</v>
      </c>
      <c r="F110" s="243">
        <v>10</v>
      </c>
      <c r="G110" s="244">
        <f t="shared" ref="G110:G112" si="5">(B110*C110*(D110+E110+F110))</f>
        <v>709</v>
      </c>
    </row>
    <row r="111" spans="1:12" s="53" customFormat="1" ht="12.75" x14ac:dyDescent="0.2">
      <c r="A111" s="62" t="s">
        <v>76</v>
      </c>
      <c r="B111" s="63">
        <v>4</v>
      </c>
      <c r="C111" s="242">
        <v>25</v>
      </c>
      <c r="D111" s="238">
        <v>5.4</v>
      </c>
      <c r="E111" s="238">
        <v>12.96</v>
      </c>
      <c r="F111" s="243">
        <v>10</v>
      </c>
      <c r="G111" s="244">
        <f t="shared" si="5"/>
        <v>2836</v>
      </c>
    </row>
    <row r="112" spans="1:12" s="53" customFormat="1" ht="12.75" x14ac:dyDescent="0.2">
      <c r="A112" s="62" t="s">
        <v>78</v>
      </c>
      <c r="B112" s="63">
        <v>1</v>
      </c>
      <c r="C112" s="242">
        <v>25</v>
      </c>
      <c r="D112" s="238">
        <v>5.4</v>
      </c>
      <c r="E112" s="238">
        <v>12.96</v>
      </c>
      <c r="F112" s="243">
        <v>10</v>
      </c>
      <c r="G112" s="244">
        <f t="shared" si="5"/>
        <v>709</v>
      </c>
    </row>
    <row r="113" spans="1:7" s="53" customFormat="1" ht="6.75" customHeight="1" x14ac:dyDescent="0.2">
      <c r="A113" s="218"/>
      <c r="B113" s="219"/>
      <c r="C113" s="217"/>
      <c r="G113" s="239"/>
    </row>
    <row r="114" spans="1:7" s="53" customFormat="1" x14ac:dyDescent="0.2">
      <c r="A114" s="218"/>
      <c r="B114" s="219"/>
      <c r="C114" s="217"/>
      <c r="G114" s="240">
        <f>SUM(G110:G112)</f>
        <v>4254</v>
      </c>
    </row>
    <row r="115" spans="1:7" s="53" customFormat="1" ht="15.75" x14ac:dyDescent="0.25">
      <c r="A115" s="220"/>
      <c r="B115" s="219"/>
      <c r="C115" s="221"/>
    </row>
    <row r="116" spans="1:7" s="53" customFormat="1" ht="12.75" x14ac:dyDescent="0.2"/>
    <row r="117" spans="1:7" s="53" customFormat="1" ht="12.75" x14ac:dyDescent="0.2"/>
    <row r="118" spans="1:7" s="53" customFormat="1" ht="12.75" x14ac:dyDescent="0.2"/>
    <row r="119" spans="1:7" s="53" customFormat="1" ht="12.75" x14ac:dyDescent="0.2"/>
    <row r="120" spans="1:7" s="53" customFormat="1" ht="12.75" x14ac:dyDescent="0.2"/>
    <row r="121" spans="1:7" s="53" customFormat="1" ht="12.75" x14ac:dyDescent="0.2"/>
    <row r="122" spans="1:7" s="53" customFormat="1" ht="12.75" x14ac:dyDescent="0.2"/>
    <row r="123" spans="1:7" s="53" customFormat="1" ht="12.75" x14ac:dyDescent="0.2"/>
    <row r="124" spans="1:7" s="53" customFormat="1" ht="12.75" x14ac:dyDescent="0.2"/>
    <row r="125" spans="1:7" s="53" customFormat="1" ht="12.75" x14ac:dyDescent="0.2"/>
    <row r="126" spans="1:7" s="53" customFormat="1" ht="12.75" x14ac:dyDescent="0.2"/>
    <row r="127" spans="1:7" s="53" customFormat="1" ht="12.75" x14ac:dyDescent="0.2"/>
    <row r="128" spans="1:7" s="53" customFormat="1" ht="12.75" x14ac:dyDescent="0.2"/>
    <row r="129" s="53" customFormat="1" ht="12.75" x14ac:dyDescent="0.2"/>
    <row r="130" s="53" customFormat="1" ht="12.75" x14ac:dyDescent="0.2"/>
    <row r="131" s="53" customFormat="1" ht="12.75" x14ac:dyDescent="0.2"/>
    <row r="132" s="53" customFormat="1" ht="12.75" x14ac:dyDescent="0.2"/>
  </sheetData>
  <mergeCells count="12">
    <mergeCell ref="D105:E105"/>
    <mergeCell ref="A5:I5"/>
    <mergeCell ref="D18:H18"/>
    <mergeCell ref="D41:E41"/>
    <mergeCell ref="H41:I41"/>
    <mergeCell ref="E54:H54"/>
    <mergeCell ref="H56:I56"/>
    <mergeCell ref="B67:C67"/>
    <mergeCell ref="B76:C76"/>
    <mergeCell ref="B82:C82"/>
    <mergeCell ref="B87:C87"/>
    <mergeCell ref="A88:D88"/>
  </mergeCells>
  <pageMargins left="0.511811024" right="0.511811024" top="0.78740157499999996" bottom="0.78740157499999996" header="0.31496062000000002" footer="0.31496062000000002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view="pageBreakPreview" topLeftCell="A67" zoomScaleNormal="100" zoomScaleSheetLayoutView="100" workbookViewId="0">
      <selection activeCell="J6" sqref="J6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4.140625" customWidth="1"/>
    <col min="5" max="5" width="18.140625" customWidth="1"/>
    <col min="6" max="6" width="12" customWidth="1"/>
    <col min="9" max="9" width="14.42578125" bestFit="1" customWidth="1"/>
  </cols>
  <sheetData>
    <row r="1" spans="1:5" ht="7.5" customHeight="1" thickBot="1" x14ac:dyDescent="0.3"/>
    <row r="2" spans="1:5" ht="24.75" customHeight="1" thickBot="1" x14ac:dyDescent="0.3">
      <c r="A2" s="320" t="s">
        <v>62</v>
      </c>
      <c r="B2" s="321"/>
      <c r="C2" s="321"/>
      <c r="D2" s="321"/>
      <c r="E2" s="322"/>
    </row>
    <row r="4" spans="1:5" x14ac:dyDescent="0.25">
      <c r="A4" s="263" t="s">
        <v>0</v>
      </c>
      <c r="B4" s="21" t="s">
        <v>157</v>
      </c>
      <c r="C4" s="21"/>
      <c r="D4" s="21"/>
      <c r="E4" s="21"/>
    </row>
    <row r="5" spans="1:5" x14ac:dyDescent="0.25">
      <c r="A5" s="258"/>
      <c r="B5" s="258"/>
      <c r="C5" s="258"/>
      <c r="D5" s="258"/>
      <c r="E5" s="258"/>
    </row>
    <row r="6" spans="1:5" x14ac:dyDescent="0.25">
      <c r="A6" s="14" t="s">
        <v>1</v>
      </c>
      <c r="B6" s="258"/>
      <c r="C6" s="258"/>
      <c r="D6" s="258"/>
      <c r="E6" s="258"/>
    </row>
    <row r="7" spans="1:5" ht="38.25" x14ac:dyDescent="0.25">
      <c r="A7" s="19" t="s">
        <v>2</v>
      </c>
      <c r="B7" s="19" t="s">
        <v>3</v>
      </c>
      <c r="C7" s="19" t="s">
        <v>4</v>
      </c>
      <c r="D7" s="19" t="s">
        <v>5</v>
      </c>
      <c r="E7" s="19" t="s">
        <v>6</v>
      </c>
    </row>
    <row r="8" spans="1:5" x14ac:dyDescent="0.25">
      <c r="A8" s="267" t="s">
        <v>158</v>
      </c>
      <c r="B8" s="268">
        <v>12</v>
      </c>
      <c r="C8" s="269">
        <v>5341.1280000000006</v>
      </c>
      <c r="D8" s="270">
        <v>1</v>
      </c>
      <c r="E8" s="271">
        <f>C8*D8</f>
        <v>5341.1280000000006</v>
      </c>
    </row>
    <row r="9" spans="1:5" x14ac:dyDescent="0.25">
      <c r="A9" s="267" t="s">
        <v>76</v>
      </c>
      <c r="B9" s="268">
        <v>12</v>
      </c>
      <c r="C9" s="269">
        <f>E9/D9</f>
        <v>2745.489</v>
      </c>
      <c r="D9" s="270">
        <v>6</v>
      </c>
      <c r="E9" s="271">
        <v>16472.934000000001</v>
      </c>
    </row>
    <row r="10" spans="1:5" x14ac:dyDescent="0.25">
      <c r="A10" s="267" t="s">
        <v>77</v>
      </c>
      <c r="B10" s="268">
        <v>12</v>
      </c>
      <c r="C10" s="269">
        <f>E10/D10</f>
        <v>1760.4869999999999</v>
      </c>
      <c r="D10" s="270">
        <v>10</v>
      </c>
      <c r="E10" s="271">
        <v>17604.87</v>
      </c>
    </row>
    <row r="11" spans="1:5" x14ac:dyDescent="0.25">
      <c r="A11" s="267" t="s">
        <v>78</v>
      </c>
      <c r="B11" s="268">
        <v>12</v>
      </c>
      <c r="C11" s="269">
        <f>E11/D11</f>
        <v>2574.0660000000007</v>
      </c>
      <c r="D11" s="270">
        <v>1</v>
      </c>
      <c r="E11" s="271">
        <v>2574.0660000000007</v>
      </c>
    </row>
    <row r="12" spans="1:5" x14ac:dyDescent="0.25">
      <c r="A12" s="267"/>
      <c r="B12" s="268"/>
      <c r="C12" s="269"/>
      <c r="D12" s="272"/>
      <c r="E12" s="273">
        <f t="shared" ref="E12" si="0">C12*B12*D12</f>
        <v>0</v>
      </c>
    </row>
    <row r="13" spans="1:5" x14ac:dyDescent="0.25">
      <c r="A13" s="8" t="s">
        <v>7</v>
      </c>
      <c r="B13" s="274"/>
      <c r="C13" s="275"/>
      <c r="D13" s="9"/>
      <c r="E13" s="27">
        <f>SUM(E8:E12)</f>
        <v>41992.998</v>
      </c>
    </row>
    <row r="14" spans="1:5" x14ac:dyDescent="0.25">
      <c r="A14" s="276" t="s">
        <v>8</v>
      </c>
      <c r="B14" s="277"/>
      <c r="C14" s="277"/>
      <c r="D14" s="26"/>
      <c r="E14" s="28">
        <f>E13*30%</f>
        <v>12597.8994</v>
      </c>
    </row>
    <row r="15" spans="1:5" x14ac:dyDescent="0.25">
      <c r="A15" s="278"/>
      <c r="B15" s="279"/>
      <c r="C15" s="280"/>
      <c r="D15" s="7"/>
      <c r="E15" s="7"/>
    </row>
    <row r="16" spans="1:5" x14ac:dyDescent="0.25">
      <c r="A16" s="258"/>
      <c r="B16" s="258"/>
      <c r="C16" s="38"/>
      <c r="D16" s="38" t="s">
        <v>9</v>
      </c>
      <c r="E16" s="39">
        <f>E13+E14</f>
        <v>54590.897400000002</v>
      </c>
    </row>
    <row r="17" spans="1:5" x14ac:dyDescent="0.25">
      <c r="A17" s="258"/>
      <c r="B17" s="258"/>
      <c r="C17" s="258"/>
      <c r="D17" s="258"/>
      <c r="E17" s="258"/>
    </row>
    <row r="18" spans="1:5" x14ac:dyDescent="0.25">
      <c r="A18" s="14" t="s">
        <v>10</v>
      </c>
      <c r="B18" s="258"/>
      <c r="C18" s="258"/>
      <c r="D18" s="258"/>
    </row>
    <row r="19" spans="1:5" x14ac:dyDescent="0.25">
      <c r="A19" s="17" t="s">
        <v>11</v>
      </c>
      <c r="B19" s="17" t="s">
        <v>12</v>
      </c>
      <c r="C19" s="17" t="s">
        <v>13</v>
      </c>
      <c r="D19" s="281"/>
    </row>
    <row r="20" spans="1:5" x14ac:dyDescent="0.25">
      <c r="A20" s="33"/>
      <c r="B20" s="33"/>
      <c r="C20" s="33"/>
      <c r="D20" s="1"/>
    </row>
    <row r="21" spans="1:5" x14ac:dyDescent="0.25">
      <c r="A21" s="34" t="s">
        <v>14</v>
      </c>
      <c r="B21" s="282">
        <v>0.85</v>
      </c>
      <c r="C21" s="36">
        <f>E16*B21</f>
        <v>46402.262790000001</v>
      </c>
      <c r="D21" s="283"/>
      <c r="E21" s="258"/>
    </row>
    <row r="22" spans="1:5" x14ac:dyDescent="0.25">
      <c r="A22" s="258"/>
      <c r="B22" s="281"/>
      <c r="C22" s="258"/>
      <c r="D22" s="258"/>
      <c r="E22" s="258"/>
    </row>
    <row r="23" spans="1:5" x14ac:dyDescent="0.25">
      <c r="A23" s="284"/>
      <c r="B23" s="258"/>
      <c r="C23" s="285"/>
      <c r="D23" s="40" t="s">
        <v>15</v>
      </c>
      <c r="E23" s="41">
        <f>E16+C21</f>
        <v>100993.16019</v>
      </c>
    </row>
    <row r="24" spans="1:5" x14ac:dyDescent="0.25">
      <c r="A24" s="14" t="s">
        <v>173</v>
      </c>
      <c r="B24" s="258"/>
      <c r="C24" s="258"/>
      <c r="D24" s="258"/>
    </row>
    <row r="25" spans="1:5" ht="25.5" x14ac:dyDescent="0.25">
      <c r="A25" s="19" t="s">
        <v>17</v>
      </c>
      <c r="B25" s="19" t="s">
        <v>27</v>
      </c>
      <c r="C25" s="19" t="s">
        <v>28</v>
      </c>
      <c r="D25" s="35" t="s">
        <v>20</v>
      </c>
    </row>
    <row r="26" spans="1:5" x14ac:dyDescent="0.25">
      <c r="A26" s="249" t="s">
        <v>29</v>
      </c>
      <c r="B26" s="261">
        <v>16</v>
      </c>
      <c r="C26" s="247">
        <v>300</v>
      </c>
      <c r="D26" s="262">
        <f>C26*B26+(750*2)</f>
        <v>6300</v>
      </c>
      <c r="E26" s="1"/>
    </row>
    <row r="27" spans="1:5" x14ac:dyDescent="0.25">
      <c r="A27" s="249" t="s">
        <v>144</v>
      </c>
      <c r="B27" s="261" t="s">
        <v>147</v>
      </c>
      <c r="C27" s="247">
        <f>(16*260)</f>
        <v>4160</v>
      </c>
      <c r="D27" s="262">
        <f>C27</f>
        <v>4160</v>
      </c>
      <c r="E27" s="1"/>
    </row>
    <row r="28" spans="1:5" x14ac:dyDescent="0.25">
      <c r="A28" s="249" t="s">
        <v>107</v>
      </c>
      <c r="B28" s="261" t="s">
        <v>105</v>
      </c>
      <c r="C28" s="247">
        <f>16*2*15*4</f>
        <v>1920</v>
      </c>
      <c r="D28" s="262">
        <f t="shared" ref="D28" si="1">C28</f>
        <v>1920</v>
      </c>
      <c r="E28" s="1"/>
    </row>
    <row r="29" spans="1:5" x14ac:dyDescent="0.25">
      <c r="A29" s="256" t="s">
        <v>164</v>
      </c>
      <c r="B29" s="261" t="s">
        <v>105</v>
      </c>
      <c r="C29" s="247">
        <v>4310.7199999999993</v>
      </c>
      <c r="D29" s="262">
        <f>C29</f>
        <v>4310.7199999999993</v>
      </c>
      <c r="E29" s="1"/>
    </row>
    <row r="30" spans="1:5" x14ac:dyDescent="0.25">
      <c r="A30" s="279" t="s">
        <v>175</v>
      </c>
      <c r="B30" s="261" t="s">
        <v>105</v>
      </c>
      <c r="C30" s="316">
        <v>8500</v>
      </c>
      <c r="D30" s="317">
        <f>C30</f>
        <v>8500</v>
      </c>
      <c r="E30" s="1"/>
    </row>
    <row r="31" spans="1:5" x14ac:dyDescent="0.25">
      <c r="A31" s="315"/>
      <c r="B31" s="24" t="s">
        <v>30</v>
      </c>
      <c r="C31" s="296"/>
      <c r="D31" s="29">
        <f>SUM(D26:D30)</f>
        <v>25190.720000000001</v>
      </c>
      <c r="E31" s="1"/>
    </row>
    <row r="32" spans="1:5" x14ac:dyDescent="0.25">
      <c r="A32" s="1"/>
      <c r="B32" s="1"/>
      <c r="C32" s="1"/>
      <c r="D32" s="1"/>
      <c r="E32" s="1"/>
    </row>
    <row r="33" spans="1:8" x14ac:dyDescent="0.25">
      <c r="A33" s="1"/>
      <c r="B33" s="43" t="s">
        <v>31</v>
      </c>
      <c r="C33" s="44"/>
      <c r="D33" s="45"/>
      <c r="E33" s="46">
        <f>E23+D31</f>
        <v>126183.88019</v>
      </c>
    </row>
    <row r="34" spans="1:8" x14ac:dyDescent="0.25">
      <c r="A34" s="263" t="s">
        <v>32</v>
      </c>
      <c r="B34" s="23"/>
      <c r="C34" s="23"/>
      <c r="D34" s="23"/>
      <c r="E34" s="23"/>
    </row>
    <row r="35" spans="1:8" x14ac:dyDescent="0.25">
      <c r="A35" s="258"/>
      <c r="B35" s="258"/>
      <c r="C35" s="258"/>
      <c r="D35" s="258"/>
      <c r="E35" s="258"/>
    </row>
    <row r="36" spans="1:8" ht="38.25" x14ac:dyDescent="0.25">
      <c r="A36" s="19" t="s">
        <v>17</v>
      </c>
      <c r="B36" s="19" t="s">
        <v>167</v>
      </c>
      <c r="C36" s="19" t="s">
        <v>33</v>
      </c>
      <c r="D36" s="35" t="s">
        <v>20</v>
      </c>
      <c r="E36" s="258"/>
    </row>
    <row r="37" spans="1:8" x14ac:dyDescent="0.25">
      <c r="A37" s="249" t="s">
        <v>136</v>
      </c>
      <c r="B37" s="224">
        <v>0.08</v>
      </c>
      <c r="C37" s="250">
        <f>B37*E33</f>
        <v>10094.710415199999</v>
      </c>
      <c r="D37" s="250">
        <f>C37</f>
        <v>10094.710415199999</v>
      </c>
      <c r="E37" s="258"/>
      <c r="H37" s="297"/>
    </row>
    <row r="38" spans="1:8" x14ac:dyDescent="0.25">
      <c r="A38" s="249" t="s">
        <v>137</v>
      </c>
      <c r="B38" s="225">
        <v>0.01</v>
      </c>
      <c r="C38" s="251">
        <f>B38*E33</f>
        <v>1261.8388018999999</v>
      </c>
      <c r="D38" s="251">
        <f>C38</f>
        <v>1261.8388018999999</v>
      </c>
      <c r="E38" s="258"/>
    </row>
    <row r="39" spans="1:8" x14ac:dyDescent="0.25">
      <c r="A39" s="252" t="s">
        <v>138</v>
      </c>
      <c r="B39" s="226">
        <v>0.08</v>
      </c>
      <c r="C39" s="253">
        <f>B39*E33</f>
        <v>10094.710415199999</v>
      </c>
      <c r="D39" s="251">
        <f>C39</f>
        <v>10094.710415199999</v>
      </c>
      <c r="E39" s="258"/>
    </row>
    <row r="40" spans="1:8" x14ac:dyDescent="0.25">
      <c r="A40" s="295"/>
      <c r="B40" s="227"/>
      <c r="C40" s="298">
        <v>0</v>
      </c>
      <c r="D40" s="298">
        <v>0</v>
      </c>
      <c r="E40" s="258"/>
    </row>
    <row r="41" spans="1:8" x14ac:dyDescent="0.25">
      <c r="A41" s="5"/>
      <c r="B41" s="5"/>
      <c r="C41" s="25" t="s">
        <v>34</v>
      </c>
      <c r="D41" s="29">
        <f>SUM(D37:D40)</f>
        <v>21451.259632299996</v>
      </c>
      <c r="E41" s="258"/>
    </row>
    <row r="42" spans="1:8" x14ac:dyDescent="0.25">
      <c r="A42" s="258"/>
      <c r="B42" s="258"/>
      <c r="C42" s="258"/>
      <c r="D42" s="258"/>
      <c r="E42" s="258"/>
    </row>
    <row r="43" spans="1:8" x14ac:dyDescent="0.25">
      <c r="A43" s="263" t="s">
        <v>35</v>
      </c>
      <c r="B43" s="23"/>
      <c r="C43" s="23"/>
      <c r="D43" s="23"/>
      <c r="E43" s="23"/>
    </row>
    <row r="44" spans="1:8" x14ac:dyDescent="0.25">
      <c r="A44" s="258"/>
      <c r="B44" s="258"/>
      <c r="C44" s="258"/>
      <c r="D44" s="258"/>
      <c r="E44" s="258"/>
    </row>
    <row r="45" spans="1:8" ht="25.5" x14ac:dyDescent="0.25">
      <c r="A45" s="19" t="s">
        <v>17</v>
      </c>
      <c r="B45" s="19" t="s">
        <v>36</v>
      </c>
      <c r="C45" s="19" t="s">
        <v>33</v>
      </c>
      <c r="D45" s="35" t="s">
        <v>20</v>
      </c>
      <c r="E45" s="258"/>
    </row>
    <row r="46" spans="1:8" x14ac:dyDescent="0.25">
      <c r="A46" s="254" t="s">
        <v>139</v>
      </c>
      <c r="B46" s="224">
        <v>7.6799999999999993E-2</v>
      </c>
      <c r="C46" s="250">
        <f>B46*(E33+D41)</f>
        <v>11338.37873835264</v>
      </c>
      <c r="D46" s="250">
        <f>C46</f>
        <v>11338.37873835264</v>
      </c>
      <c r="E46" s="258"/>
    </row>
    <row r="47" spans="1:8" x14ac:dyDescent="0.25">
      <c r="A47" s="249"/>
      <c r="B47" s="225"/>
      <c r="C47" s="251">
        <v>0</v>
      </c>
      <c r="D47" s="251">
        <v>0</v>
      </c>
      <c r="E47" s="258"/>
    </row>
    <row r="48" spans="1:8" x14ac:dyDescent="0.25">
      <c r="A48" s="299"/>
      <c r="B48" s="228"/>
      <c r="C48" s="300">
        <v>0</v>
      </c>
      <c r="D48" s="300">
        <v>0</v>
      </c>
      <c r="E48" s="258"/>
    </row>
    <row r="49" spans="1:5" x14ac:dyDescent="0.25">
      <c r="A49" s="5"/>
      <c r="B49" s="24" t="s">
        <v>37</v>
      </c>
      <c r="C49" s="296"/>
      <c r="D49" s="29">
        <f>SUM(D46:D48)</f>
        <v>11338.37873835264</v>
      </c>
      <c r="E49" s="258"/>
    </row>
    <row r="50" spans="1:5" x14ac:dyDescent="0.25">
      <c r="A50" s="258"/>
      <c r="B50" s="258"/>
      <c r="C50" s="258"/>
      <c r="D50" s="258"/>
      <c r="E50" s="258"/>
    </row>
    <row r="51" spans="1:5" x14ac:dyDescent="0.25">
      <c r="A51" s="263" t="s">
        <v>38</v>
      </c>
      <c r="B51" s="23"/>
      <c r="C51" s="23"/>
      <c r="D51" s="23"/>
      <c r="E51" s="23"/>
    </row>
    <row r="52" spans="1:5" x14ac:dyDescent="0.25">
      <c r="A52" s="258"/>
      <c r="B52" s="258"/>
      <c r="C52" s="258"/>
      <c r="D52" s="258"/>
      <c r="E52" s="258"/>
    </row>
    <row r="53" spans="1:5" x14ac:dyDescent="0.25">
      <c r="A53" s="2" t="s">
        <v>39</v>
      </c>
      <c r="B53" s="3"/>
      <c r="C53" s="3"/>
      <c r="D53" s="4"/>
      <c r="E53" s="30">
        <f>E33+D41+D49</f>
        <v>158973.51856065265</v>
      </c>
    </row>
    <row r="54" spans="1:5" x14ac:dyDescent="0.25">
      <c r="A54" s="258"/>
      <c r="B54" s="258"/>
      <c r="C54" s="258"/>
      <c r="D54" s="258"/>
      <c r="E54" s="258"/>
    </row>
    <row r="55" spans="1:5" x14ac:dyDescent="0.25">
      <c r="A55" s="263" t="s">
        <v>40</v>
      </c>
      <c r="B55" s="23"/>
      <c r="C55" s="23"/>
      <c r="D55" s="23"/>
      <c r="E55" s="37"/>
    </row>
    <row r="56" spans="1:5" x14ac:dyDescent="0.25">
      <c r="A56" s="258"/>
      <c r="B56" s="258"/>
      <c r="C56" s="258"/>
      <c r="D56" s="258"/>
      <c r="E56" s="258"/>
    </row>
    <row r="57" spans="1:5" x14ac:dyDescent="0.25">
      <c r="A57" s="19" t="s">
        <v>17</v>
      </c>
      <c r="B57" s="19" t="s">
        <v>36</v>
      </c>
      <c r="C57" s="258"/>
      <c r="D57" s="258"/>
      <c r="E57" s="258"/>
    </row>
    <row r="58" spans="1:5" x14ac:dyDescent="0.25">
      <c r="A58" s="255" t="s">
        <v>41</v>
      </c>
      <c r="B58" s="224">
        <v>0.05</v>
      </c>
      <c r="C58" s="258"/>
      <c r="D58" s="258"/>
      <c r="E58" s="258"/>
    </row>
    <row r="59" spans="1:5" x14ac:dyDescent="0.25">
      <c r="A59" s="256" t="s">
        <v>42</v>
      </c>
      <c r="B59" s="225">
        <v>6.4999999999999997E-3</v>
      </c>
      <c r="C59" s="258"/>
      <c r="D59" s="258"/>
      <c r="E59" s="301"/>
    </row>
    <row r="60" spans="1:5" x14ac:dyDescent="0.25">
      <c r="A60" s="257" t="s">
        <v>43</v>
      </c>
      <c r="B60" s="228">
        <v>0.03</v>
      </c>
      <c r="C60" s="258"/>
      <c r="D60" s="258"/>
      <c r="E60" s="258"/>
    </row>
    <row r="61" spans="1:5" x14ac:dyDescent="0.25">
      <c r="A61" s="258"/>
      <c r="B61" s="259"/>
      <c r="C61" s="258"/>
      <c r="D61" s="258"/>
      <c r="E61" s="258"/>
    </row>
    <row r="62" spans="1:5" ht="27.75" customHeight="1" x14ac:dyDescent="0.25">
      <c r="A62" s="6" t="s">
        <v>44</v>
      </c>
      <c r="B62" s="31">
        <f>SUM(B58:B60)</f>
        <v>8.6499999999999994E-2</v>
      </c>
      <c r="C62" s="258"/>
      <c r="D62" s="258"/>
      <c r="E62" s="302"/>
    </row>
    <row r="63" spans="1:5" x14ac:dyDescent="0.25">
      <c r="A63" s="258"/>
      <c r="B63" s="258"/>
      <c r="C63" s="258"/>
      <c r="D63" s="258"/>
      <c r="E63" s="258"/>
    </row>
    <row r="64" spans="1:5" ht="15.75" x14ac:dyDescent="0.25">
      <c r="A64" s="20" t="s">
        <v>172</v>
      </c>
      <c r="B64" s="313"/>
      <c r="C64" s="313"/>
      <c r="D64" s="314"/>
      <c r="E64" s="32">
        <f>E53*1.0865</f>
        <v>172724.7279161491</v>
      </c>
    </row>
    <row r="65" spans="1:5" x14ac:dyDescent="0.25">
      <c r="A65" s="279"/>
      <c r="B65" s="258"/>
      <c r="C65" s="258"/>
      <c r="D65" s="258"/>
      <c r="E65" s="258"/>
    </row>
    <row r="66" spans="1:5" x14ac:dyDescent="0.25">
      <c r="A66" s="42"/>
      <c r="B66" s="258"/>
      <c r="C66" s="258"/>
      <c r="D66" s="258"/>
      <c r="E66" s="258"/>
    </row>
    <row r="67" spans="1:5" x14ac:dyDescent="0.25">
      <c r="A67" s="258"/>
      <c r="B67" s="258"/>
      <c r="C67" s="258"/>
      <c r="D67" s="258"/>
      <c r="E67" s="258"/>
    </row>
    <row r="68" spans="1:5" x14ac:dyDescent="0.25">
      <c r="A68" s="42" t="s">
        <v>46</v>
      </c>
      <c r="B68" s="258"/>
      <c r="C68" s="258"/>
      <c r="D68" s="258"/>
      <c r="E68" s="258"/>
    </row>
    <row r="69" spans="1:5" x14ac:dyDescent="0.25">
      <c r="A69" s="10" t="s">
        <v>47</v>
      </c>
      <c r="B69" s="1"/>
      <c r="C69" s="1"/>
      <c r="D69" s="1"/>
      <c r="E69" s="1"/>
    </row>
    <row r="70" spans="1:5" x14ac:dyDescent="0.25">
      <c r="A70" s="11" t="s">
        <v>48</v>
      </c>
      <c r="B70" s="258"/>
      <c r="C70" s="258"/>
      <c r="D70" s="258"/>
      <c r="E70" s="258"/>
    </row>
    <row r="71" spans="1:5" x14ac:dyDescent="0.25">
      <c r="A71" s="11" t="s">
        <v>49</v>
      </c>
      <c r="B71" s="258"/>
      <c r="C71" s="258"/>
      <c r="D71" s="258"/>
      <c r="E71" s="258"/>
    </row>
    <row r="72" spans="1:5" x14ac:dyDescent="0.25">
      <c r="A72" s="11" t="s">
        <v>50</v>
      </c>
    </row>
    <row r="73" spans="1:5" x14ac:dyDescent="0.25">
      <c r="A73" s="11" t="s">
        <v>51</v>
      </c>
    </row>
    <row r="74" spans="1:5" x14ac:dyDescent="0.25">
      <c r="A74" s="11" t="s">
        <v>52</v>
      </c>
    </row>
    <row r="75" spans="1:5" x14ac:dyDescent="0.25">
      <c r="A75" s="11" t="s">
        <v>53</v>
      </c>
    </row>
    <row r="76" spans="1:5" x14ac:dyDescent="0.25">
      <c r="A76" s="10" t="s">
        <v>54</v>
      </c>
    </row>
    <row r="77" spans="1:5" x14ac:dyDescent="0.25">
      <c r="A77" s="11" t="s">
        <v>55</v>
      </c>
    </row>
    <row r="78" spans="1:5" x14ac:dyDescent="0.25">
      <c r="A78" s="11" t="s">
        <v>56</v>
      </c>
    </row>
    <row r="79" spans="1:5" x14ac:dyDescent="0.25">
      <c r="A79" s="13">
        <v>2</v>
      </c>
    </row>
    <row r="80" spans="1:5" x14ac:dyDescent="0.25">
      <c r="A80" s="11" t="s">
        <v>57</v>
      </c>
    </row>
    <row r="81" spans="1:1" x14ac:dyDescent="0.25">
      <c r="A81" s="13">
        <v>3</v>
      </c>
    </row>
    <row r="82" spans="1:1" x14ac:dyDescent="0.25">
      <c r="A82" s="11" t="s">
        <v>58</v>
      </c>
    </row>
    <row r="83" spans="1:1" x14ac:dyDescent="0.25">
      <c r="A83" s="13">
        <v>5</v>
      </c>
    </row>
    <row r="84" spans="1:1" x14ac:dyDescent="0.25">
      <c r="A84" s="11" t="s">
        <v>59</v>
      </c>
    </row>
    <row r="85" spans="1:1" x14ac:dyDescent="0.25">
      <c r="A85" s="11"/>
    </row>
    <row r="86" spans="1:1" x14ac:dyDescent="0.25">
      <c r="A86" s="12" t="s">
        <v>60</v>
      </c>
    </row>
    <row r="87" spans="1:1" x14ac:dyDescent="0.25">
      <c r="A87" s="258"/>
    </row>
    <row r="88" spans="1:1" x14ac:dyDescent="0.25">
      <c r="A88" s="15" t="s">
        <v>61</v>
      </c>
    </row>
  </sheetData>
  <mergeCells count="1">
    <mergeCell ref="A2:E2"/>
  </mergeCells>
  <pageMargins left="0.51181102362204722" right="0.51181102362204722" top="0.78740157480314965" bottom="0.78740157480314965" header="0.31496062992125984" footer="0.31496062992125984"/>
  <pageSetup paperSize="9" scale="64" orientation="portrait" r:id="rId1"/>
  <rowBreaks count="1" manualBreakCount="1">
    <brk id="33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6"/>
  <sheetViews>
    <sheetView showGridLines="0" view="pageBreakPreview" zoomScale="80" zoomScaleNormal="100" zoomScaleSheetLayoutView="80" workbookViewId="0">
      <selection activeCell="C29" sqref="C29"/>
    </sheetView>
  </sheetViews>
  <sheetFormatPr defaultColWidth="7.85546875" defaultRowHeight="15" x14ac:dyDescent="0.2"/>
  <cols>
    <col min="1" max="1" width="26.42578125" style="47" customWidth="1"/>
    <col min="2" max="2" width="12.28515625" style="47" customWidth="1"/>
    <col min="3" max="3" width="14.85546875" style="47" customWidth="1"/>
    <col min="4" max="4" width="14.42578125" style="47" customWidth="1"/>
    <col min="5" max="7" width="15.140625" style="47" customWidth="1"/>
    <col min="8" max="8" width="13.7109375" style="47" customWidth="1"/>
    <col min="9" max="9" width="16.28515625" style="47" customWidth="1"/>
    <col min="10" max="251" width="7.85546875" style="47"/>
    <col min="252" max="252" width="26.42578125" style="47" customWidth="1"/>
    <col min="253" max="253" width="12.28515625" style="47" customWidth="1"/>
    <col min="254" max="254" width="14.85546875" style="47" customWidth="1"/>
    <col min="255" max="255" width="14.42578125" style="47" customWidth="1"/>
    <col min="256" max="258" width="15.140625" style="47" customWidth="1"/>
    <col min="259" max="259" width="13.7109375" style="47" customWidth="1"/>
    <col min="260" max="260" width="16.28515625" style="47" customWidth="1"/>
    <col min="261" max="264" width="7.85546875" style="47"/>
    <col min="265" max="265" width="14.7109375" style="47" bestFit="1" customWidth="1"/>
    <col min="266" max="507" width="7.85546875" style="47"/>
    <col min="508" max="508" width="26.42578125" style="47" customWidth="1"/>
    <col min="509" max="509" width="12.28515625" style="47" customWidth="1"/>
    <col min="510" max="510" width="14.85546875" style="47" customWidth="1"/>
    <col min="511" max="511" width="14.42578125" style="47" customWidth="1"/>
    <col min="512" max="514" width="15.140625" style="47" customWidth="1"/>
    <col min="515" max="515" width="13.7109375" style="47" customWidth="1"/>
    <col min="516" max="516" width="16.28515625" style="47" customWidth="1"/>
    <col min="517" max="520" width="7.85546875" style="47"/>
    <col min="521" max="521" width="14.7109375" style="47" bestFit="1" customWidth="1"/>
    <col min="522" max="763" width="7.85546875" style="47"/>
    <col min="764" max="764" width="26.42578125" style="47" customWidth="1"/>
    <col min="765" max="765" width="12.28515625" style="47" customWidth="1"/>
    <col min="766" max="766" width="14.85546875" style="47" customWidth="1"/>
    <col min="767" max="767" width="14.42578125" style="47" customWidth="1"/>
    <col min="768" max="770" width="15.140625" style="47" customWidth="1"/>
    <col min="771" max="771" width="13.7109375" style="47" customWidth="1"/>
    <col min="772" max="772" width="16.28515625" style="47" customWidth="1"/>
    <col min="773" max="776" width="7.85546875" style="47"/>
    <col min="777" max="777" width="14.7109375" style="47" bestFit="1" customWidth="1"/>
    <col min="778" max="1019" width="7.85546875" style="47"/>
    <col min="1020" max="1020" width="26.42578125" style="47" customWidth="1"/>
    <col min="1021" max="1021" width="12.28515625" style="47" customWidth="1"/>
    <col min="1022" max="1022" width="14.85546875" style="47" customWidth="1"/>
    <col min="1023" max="1023" width="14.42578125" style="47" customWidth="1"/>
    <col min="1024" max="1026" width="15.140625" style="47" customWidth="1"/>
    <col min="1027" max="1027" width="13.7109375" style="47" customWidth="1"/>
    <col min="1028" max="1028" width="16.28515625" style="47" customWidth="1"/>
    <col min="1029" max="1032" width="7.85546875" style="47"/>
    <col min="1033" max="1033" width="14.7109375" style="47" bestFit="1" customWidth="1"/>
    <col min="1034" max="1275" width="7.85546875" style="47"/>
    <col min="1276" max="1276" width="26.42578125" style="47" customWidth="1"/>
    <col min="1277" max="1277" width="12.28515625" style="47" customWidth="1"/>
    <col min="1278" max="1278" width="14.85546875" style="47" customWidth="1"/>
    <col min="1279" max="1279" width="14.42578125" style="47" customWidth="1"/>
    <col min="1280" max="1282" width="15.140625" style="47" customWidth="1"/>
    <col min="1283" max="1283" width="13.7109375" style="47" customWidth="1"/>
    <col min="1284" max="1284" width="16.28515625" style="47" customWidth="1"/>
    <col min="1285" max="1288" width="7.85546875" style="47"/>
    <col min="1289" max="1289" width="14.7109375" style="47" bestFit="1" customWidth="1"/>
    <col min="1290" max="1531" width="7.85546875" style="47"/>
    <col min="1532" max="1532" width="26.42578125" style="47" customWidth="1"/>
    <col min="1533" max="1533" width="12.28515625" style="47" customWidth="1"/>
    <col min="1534" max="1534" width="14.85546875" style="47" customWidth="1"/>
    <col min="1535" max="1535" width="14.42578125" style="47" customWidth="1"/>
    <col min="1536" max="1538" width="15.140625" style="47" customWidth="1"/>
    <col min="1539" max="1539" width="13.7109375" style="47" customWidth="1"/>
    <col min="1540" max="1540" width="16.28515625" style="47" customWidth="1"/>
    <col min="1541" max="1544" width="7.85546875" style="47"/>
    <col min="1545" max="1545" width="14.7109375" style="47" bestFit="1" customWidth="1"/>
    <col min="1546" max="1787" width="7.85546875" style="47"/>
    <col min="1788" max="1788" width="26.42578125" style="47" customWidth="1"/>
    <col min="1789" max="1789" width="12.28515625" style="47" customWidth="1"/>
    <col min="1790" max="1790" width="14.85546875" style="47" customWidth="1"/>
    <col min="1791" max="1791" width="14.42578125" style="47" customWidth="1"/>
    <col min="1792" max="1794" width="15.140625" style="47" customWidth="1"/>
    <col min="1795" max="1795" width="13.7109375" style="47" customWidth="1"/>
    <col min="1796" max="1796" width="16.28515625" style="47" customWidth="1"/>
    <col min="1797" max="1800" width="7.85546875" style="47"/>
    <col min="1801" max="1801" width="14.7109375" style="47" bestFit="1" customWidth="1"/>
    <col min="1802" max="2043" width="7.85546875" style="47"/>
    <col min="2044" max="2044" width="26.42578125" style="47" customWidth="1"/>
    <col min="2045" max="2045" width="12.28515625" style="47" customWidth="1"/>
    <col min="2046" max="2046" width="14.85546875" style="47" customWidth="1"/>
    <col min="2047" max="2047" width="14.42578125" style="47" customWidth="1"/>
    <col min="2048" max="2050" width="15.140625" style="47" customWidth="1"/>
    <col min="2051" max="2051" width="13.7109375" style="47" customWidth="1"/>
    <col min="2052" max="2052" width="16.28515625" style="47" customWidth="1"/>
    <col min="2053" max="2056" width="7.85546875" style="47"/>
    <col min="2057" max="2057" width="14.7109375" style="47" bestFit="1" customWidth="1"/>
    <col min="2058" max="2299" width="7.85546875" style="47"/>
    <col min="2300" max="2300" width="26.42578125" style="47" customWidth="1"/>
    <col min="2301" max="2301" width="12.28515625" style="47" customWidth="1"/>
    <col min="2302" max="2302" width="14.85546875" style="47" customWidth="1"/>
    <col min="2303" max="2303" width="14.42578125" style="47" customWidth="1"/>
    <col min="2304" max="2306" width="15.140625" style="47" customWidth="1"/>
    <col min="2307" max="2307" width="13.7109375" style="47" customWidth="1"/>
    <col min="2308" max="2308" width="16.28515625" style="47" customWidth="1"/>
    <col min="2309" max="2312" width="7.85546875" style="47"/>
    <col min="2313" max="2313" width="14.7109375" style="47" bestFit="1" customWidth="1"/>
    <col min="2314" max="2555" width="7.85546875" style="47"/>
    <col min="2556" max="2556" width="26.42578125" style="47" customWidth="1"/>
    <col min="2557" max="2557" width="12.28515625" style="47" customWidth="1"/>
    <col min="2558" max="2558" width="14.85546875" style="47" customWidth="1"/>
    <col min="2559" max="2559" width="14.42578125" style="47" customWidth="1"/>
    <col min="2560" max="2562" width="15.140625" style="47" customWidth="1"/>
    <col min="2563" max="2563" width="13.7109375" style="47" customWidth="1"/>
    <col min="2564" max="2564" width="16.28515625" style="47" customWidth="1"/>
    <col min="2565" max="2568" width="7.85546875" style="47"/>
    <col min="2569" max="2569" width="14.7109375" style="47" bestFit="1" customWidth="1"/>
    <col min="2570" max="2811" width="7.85546875" style="47"/>
    <col min="2812" max="2812" width="26.42578125" style="47" customWidth="1"/>
    <col min="2813" max="2813" width="12.28515625" style="47" customWidth="1"/>
    <col min="2814" max="2814" width="14.85546875" style="47" customWidth="1"/>
    <col min="2815" max="2815" width="14.42578125" style="47" customWidth="1"/>
    <col min="2816" max="2818" width="15.140625" style="47" customWidth="1"/>
    <col min="2819" max="2819" width="13.7109375" style="47" customWidth="1"/>
    <col min="2820" max="2820" width="16.28515625" style="47" customWidth="1"/>
    <col min="2821" max="2824" width="7.85546875" style="47"/>
    <col min="2825" max="2825" width="14.7109375" style="47" bestFit="1" customWidth="1"/>
    <col min="2826" max="3067" width="7.85546875" style="47"/>
    <col min="3068" max="3068" width="26.42578125" style="47" customWidth="1"/>
    <col min="3069" max="3069" width="12.28515625" style="47" customWidth="1"/>
    <col min="3070" max="3070" width="14.85546875" style="47" customWidth="1"/>
    <col min="3071" max="3071" width="14.42578125" style="47" customWidth="1"/>
    <col min="3072" max="3074" width="15.140625" style="47" customWidth="1"/>
    <col min="3075" max="3075" width="13.7109375" style="47" customWidth="1"/>
    <col min="3076" max="3076" width="16.28515625" style="47" customWidth="1"/>
    <col min="3077" max="3080" width="7.85546875" style="47"/>
    <col min="3081" max="3081" width="14.7109375" style="47" bestFit="1" customWidth="1"/>
    <col min="3082" max="3323" width="7.85546875" style="47"/>
    <col min="3324" max="3324" width="26.42578125" style="47" customWidth="1"/>
    <col min="3325" max="3325" width="12.28515625" style="47" customWidth="1"/>
    <col min="3326" max="3326" width="14.85546875" style="47" customWidth="1"/>
    <col min="3327" max="3327" width="14.42578125" style="47" customWidth="1"/>
    <col min="3328" max="3330" width="15.140625" style="47" customWidth="1"/>
    <col min="3331" max="3331" width="13.7109375" style="47" customWidth="1"/>
    <col min="3332" max="3332" width="16.28515625" style="47" customWidth="1"/>
    <col min="3333" max="3336" width="7.85546875" style="47"/>
    <col min="3337" max="3337" width="14.7109375" style="47" bestFit="1" customWidth="1"/>
    <col min="3338" max="3579" width="7.85546875" style="47"/>
    <col min="3580" max="3580" width="26.42578125" style="47" customWidth="1"/>
    <col min="3581" max="3581" width="12.28515625" style="47" customWidth="1"/>
    <col min="3582" max="3582" width="14.85546875" style="47" customWidth="1"/>
    <col min="3583" max="3583" width="14.42578125" style="47" customWidth="1"/>
    <col min="3584" max="3586" width="15.140625" style="47" customWidth="1"/>
    <col min="3587" max="3587" width="13.7109375" style="47" customWidth="1"/>
    <col min="3588" max="3588" width="16.28515625" style="47" customWidth="1"/>
    <col min="3589" max="3592" width="7.85546875" style="47"/>
    <col min="3593" max="3593" width="14.7109375" style="47" bestFit="1" customWidth="1"/>
    <col min="3594" max="3835" width="7.85546875" style="47"/>
    <col min="3836" max="3836" width="26.42578125" style="47" customWidth="1"/>
    <col min="3837" max="3837" width="12.28515625" style="47" customWidth="1"/>
    <col min="3838" max="3838" width="14.85546875" style="47" customWidth="1"/>
    <col min="3839" max="3839" width="14.42578125" style="47" customWidth="1"/>
    <col min="3840" max="3842" width="15.140625" style="47" customWidth="1"/>
    <col min="3843" max="3843" width="13.7109375" style="47" customWidth="1"/>
    <col min="3844" max="3844" width="16.28515625" style="47" customWidth="1"/>
    <col min="3845" max="3848" width="7.85546875" style="47"/>
    <col min="3849" max="3849" width="14.7109375" style="47" bestFit="1" customWidth="1"/>
    <col min="3850" max="4091" width="7.85546875" style="47"/>
    <col min="4092" max="4092" width="26.42578125" style="47" customWidth="1"/>
    <col min="4093" max="4093" width="12.28515625" style="47" customWidth="1"/>
    <col min="4094" max="4094" width="14.85546875" style="47" customWidth="1"/>
    <col min="4095" max="4095" width="14.42578125" style="47" customWidth="1"/>
    <col min="4096" max="4098" width="15.140625" style="47" customWidth="1"/>
    <col min="4099" max="4099" width="13.7109375" style="47" customWidth="1"/>
    <col min="4100" max="4100" width="16.28515625" style="47" customWidth="1"/>
    <col min="4101" max="4104" width="7.85546875" style="47"/>
    <col min="4105" max="4105" width="14.7109375" style="47" bestFit="1" customWidth="1"/>
    <col min="4106" max="4347" width="7.85546875" style="47"/>
    <col min="4348" max="4348" width="26.42578125" style="47" customWidth="1"/>
    <col min="4349" max="4349" width="12.28515625" style="47" customWidth="1"/>
    <col min="4350" max="4350" width="14.85546875" style="47" customWidth="1"/>
    <col min="4351" max="4351" width="14.42578125" style="47" customWidth="1"/>
    <col min="4352" max="4354" width="15.140625" style="47" customWidth="1"/>
    <col min="4355" max="4355" width="13.7109375" style="47" customWidth="1"/>
    <col min="4356" max="4356" width="16.28515625" style="47" customWidth="1"/>
    <col min="4357" max="4360" width="7.85546875" style="47"/>
    <col min="4361" max="4361" width="14.7109375" style="47" bestFit="1" customWidth="1"/>
    <col min="4362" max="4603" width="7.85546875" style="47"/>
    <col min="4604" max="4604" width="26.42578125" style="47" customWidth="1"/>
    <col min="4605" max="4605" width="12.28515625" style="47" customWidth="1"/>
    <col min="4606" max="4606" width="14.85546875" style="47" customWidth="1"/>
    <col min="4607" max="4607" width="14.42578125" style="47" customWidth="1"/>
    <col min="4608" max="4610" width="15.140625" style="47" customWidth="1"/>
    <col min="4611" max="4611" width="13.7109375" style="47" customWidth="1"/>
    <col min="4612" max="4612" width="16.28515625" style="47" customWidth="1"/>
    <col min="4613" max="4616" width="7.85546875" style="47"/>
    <col min="4617" max="4617" width="14.7109375" style="47" bestFit="1" customWidth="1"/>
    <col min="4618" max="4859" width="7.85546875" style="47"/>
    <col min="4860" max="4860" width="26.42578125" style="47" customWidth="1"/>
    <col min="4861" max="4861" width="12.28515625" style="47" customWidth="1"/>
    <col min="4862" max="4862" width="14.85546875" style="47" customWidth="1"/>
    <col min="4863" max="4863" width="14.42578125" style="47" customWidth="1"/>
    <col min="4864" max="4866" width="15.140625" style="47" customWidth="1"/>
    <col min="4867" max="4867" width="13.7109375" style="47" customWidth="1"/>
    <col min="4868" max="4868" width="16.28515625" style="47" customWidth="1"/>
    <col min="4869" max="4872" width="7.85546875" style="47"/>
    <col min="4873" max="4873" width="14.7109375" style="47" bestFit="1" customWidth="1"/>
    <col min="4874" max="5115" width="7.85546875" style="47"/>
    <col min="5116" max="5116" width="26.42578125" style="47" customWidth="1"/>
    <col min="5117" max="5117" width="12.28515625" style="47" customWidth="1"/>
    <col min="5118" max="5118" width="14.85546875" style="47" customWidth="1"/>
    <col min="5119" max="5119" width="14.42578125" style="47" customWidth="1"/>
    <col min="5120" max="5122" width="15.140625" style="47" customWidth="1"/>
    <col min="5123" max="5123" width="13.7109375" style="47" customWidth="1"/>
    <col min="5124" max="5124" width="16.28515625" style="47" customWidth="1"/>
    <col min="5125" max="5128" width="7.85546875" style="47"/>
    <col min="5129" max="5129" width="14.7109375" style="47" bestFit="1" customWidth="1"/>
    <col min="5130" max="5371" width="7.85546875" style="47"/>
    <col min="5372" max="5372" width="26.42578125" style="47" customWidth="1"/>
    <col min="5373" max="5373" width="12.28515625" style="47" customWidth="1"/>
    <col min="5374" max="5374" width="14.85546875" style="47" customWidth="1"/>
    <col min="5375" max="5375" width="14.42578125" style="47" customWidth="1"/>
    <col min="5376" max="5378" width="15.140625" style="47" customWidth="1"/>
    <col min="5379" max="5379" width="13.7109375" style="47" customWidth="1"/>
    <col min="5380" max="5380" width="16.28515625" style="47" customWidth="1"/>
    <col min="5381" max="5384" width="7.85546875" style="47"/>
    <col min="5385" max="5385" width="14.7109375" style="47" bestFit="1" customWidth="1"/>
    <col min="5386" max="5627" width="7.85546875" style="47"/>
    <col min="5628" max="5628" width="26.42578125" style="47" customWidth="1"/>
    <col min="5629" max="5629" width="12.28515625" style="47" customWidth="1"/>
    <col min="5630" max="5630" width="14.85546875" style="47" customWidth="1"/>
    <col min="5631" max="5631" width="14.42578125" style="47" customWidth="1"/>
    <col min="5632" max="5634" width="15.140625" style="47" customWidth="1"/>
    <col min="5635" max="5635" width="13.7109375" style="47" customWidth="1"/>
    <col min="5636" max="5636" width="16.28515625" style="47" customWidth="1"/>
    <col min="5637" max="5640" width="7.85546875" style="47"/>
    <col min="5641" max="5641" width="14.7109375" style="47" bestFit="1" customWidth="1"/>
    <col min="5642" max="5883" width="7.85546875" style="47"/>
    <col min="5884" max="5884" width="26.42578125" style="47" customWidth="1"/>
    <col min="5885" max="5885" width="12.28515625" style="47" customWidth="1"/>
    <col min="5886" max="5886" width="14.85546875" style="47" customWidth="1"/>
    <col min="5887" max="5887" width="14.42578125" style="47" customWidth="1"/>
    <col min="5888" max="5890" width="15.140625" style="47" customWidth="1"/>
    <col min="5891" max="5891" width="13.7109375" style="47" customWidth="1"/>
    <col min="5892" max="5892" width="16.28515625" style="47" customWidth="1"/>
    <col min="5893" max="5896" width="7.85546875" style="47"/>
    <col min="5897" max="5897" width="14.7109375" style="47" bestFit="1" customWidth="1"/>
    <col min="5898" max="6139" width="7.85546875" style="47"/>
    <col min="6140" max="6140" width="26.42578125" style="47" customWidth="1"/>
    <col min="6141" max="6141" width="12.28515625" style="47" customWidth="1"/>
    <col min="6142" max="6142" width="14.85546875" style="47" customWidth="1"/>
    <col min="6143" max="6143" width="14.42578125" style="47" customWidth="1"/>
    <col min="6144" max="6146" width="15.140625" style="47" customWidth="1"/>
    <col min="6147" max="6147" width="13.7109375" style="47" customWidth="1"/>
    <col min="6148" max="6148" width="16.28515625" style="47" customWidth="1"/>
    <col min="6149" max="6152" width="7.85546875" style="47"/>
    <col min="6153" max="6153" width="14.7109375" style="47" bestFit="1" customWidth="1"/>
    <col min="6154" max="6395" width="7.85546875" style="47"/>
    <col min="6396" max="6396" width="26.42578125" style="47" customWidth="1"/>
    <col min="6397" max="6397" width="12.28515625" style="47" customWidth="1"/>
    <col min="6398" max="6398" width="14.85546875" style="47" customWidth="1"/>
    <col min="6399" max="6399" width="14.42578125" style="47" customWidth="1"/>
    <col min="6400" max="6402" width="15.140625" style="47" customWidth="1"/>
    <col min="6403" max="6403" width="13.7109375" style="47" customWidth="1"/>
    <col min="6404" max="6404" width="16.28515625" style="47" customWidth="1"/>
    <col min="6405" max="6408" width="7.85546875" style="47"/>
    <col min="6409" max="6409" width="14.7109375" style="47" bestFit="1" customWidth="1"/>
    <col min="6410" max="6651" width="7.85546875" style="47"/>
    <col min="6652" max="6652" width="26.42578125" style="47" customWidth="1"/>
    <col min="6653" max="6653" width="12.28515625" style="47" customWidth="1"/>
    <col min="6654" max="6654" width="14.85546875" style="47" customWidth="1"/>
    <col min="6655" max="6655" width="14.42578125" style="47" customWidth="1"/>
    <col min="6656" max="6658" width="15.140625" style="47" customWidth="1"/>
    <col min="6659" max="6659" width="13.7109375" style="47" customWidth="1"/>
    <col min="6660" max="6660" width="16.28515625" style="47" customWidth="1"/>
    <col min="6661" max="6664" width="7.85546875" style="47"/>
    <col min="6665" max="6665" width="14.7109375" style="47" bestFit="1" customWidth="1"/>
    <col min="6666" max="6907" width="7.85546875" style="47"/>
    <col min="6908" max="6908" width="26.42578125" style="47" customWidth="1"/>
    <col min="6909" max="6909" width="12.28515625" style="47" customWidth="1"/>
    <col min="6910" max="6910" width="14.85546875" style="47" customWidth="1"/>
    <col min="6911" max="6911" width="14.42578125" style="47" customWidth="1"/>
    <col min="6912" max="6914" width="15.140625" style="47" customWidth="1"/>
    <col min="6915" max="6915" width="13.7109375" style="47" customWidth="1"/>
    <col min="6916" max="6916" width="16.28515625" style="47" customWidth="1"/>
    <col min="6917" max="6920" width="7.85546875" style="47"/>
    <col min="6921" max="6921" width="14.7109375" style="47" bestFit="1" customWidth="1"/>
    <col min="6922" max="7163" width="7.85546875" style="47"/>
    <col min="7164" max="7164" width="26.42578125" style="47" customWidth="1"/>
    <col min="7165" max="7165" width="12.28515625" style="47" customWidth="1"/>
    <col min="7166" max="7166" width="14.85546875" style="47" customWidth="1"/>
    <col min="7167" max="7167" width="14.42578125" style="47" customWidth="1"/>
    <col min="7168" max="7170" width="15.140625" style="47" customWidth="1"/>
    <col min="7171" max="7171" width="13.7109375" style="47" customWidth="1"/>
    <col min="7172" max="7172" width="16.28515625" style="47" customWidth="1"/>
    <col min="7173" max="7176" width="7.85546875" style="47"/>
    <col min="7177" max="7177" width="14.7109375" style="47" bestFit="1" customWidth="1"/>
    <col min="7178" max="7419" width="7.85546875" style="47"/>
    <col min="7420" max="7420" width="26.42578125" style="47" customWidth="1"/>
    <col min="7421" max="7421" width="12.28515625" style="47" customWidth="1"/>
    <col min="7422" max="7422" width="14.85546875" style="47" customWidth="1"/>
    <col min="7423" max="7423" width="14.42578125" style="47" customWidth="1"/>
    <col min="7424" max="7426" width="15.140625" style="47" customWidth="1"/>
    <col min="7427" max="7427" width="13.7109375" style="47" customWidth="1"/>
    <col min="7428" max="7428" width="16.28515625" style="47" customWidth="1"/>
    <col min="7429" max="7432" width="7.85546875" style="47"/>
    <col min="7433" max="7433" width="14.7109375" style="47" bestFit="1" customWidth="1"/>
    <col min="7434" max="7675" width="7.85546875" style="47"/>
    <col min="7676" max="7676" width="26.42578125" style="47" customWidth="1"/>
    <col min="7677" max="7677" width="12.28515625" style="47" customWidth="1"/>
    <col min="7678" max="7678" width="14.85546875" style="47" customWidth="1"/>
    <col min="7679" max="7679" width="14.42578125" style="47" customWidth="1"/>
    <col min="7680" max="7682" width="15.140625" style="47" customWidth="1"/>
    <col min="7683" max="7683" width="13.7109375" style="47" customWidth="1"/>
    <col min="7684" max="7684" width="16.28515625" style="47" customWidth="1"/>
    <col min="7685" max="7688" width="7.85546875" style="47"/>
    <col min="7689" max="7689" width="14.7109375" style="47" bestFit="1" customWidth="1"/>
    <col min="7690" max="7931" width="7.85546875" style="47"/>
    <col min="7932" max="7932" width="26.42578125" style="47" customWidth="1"/>
    <col min="7933" max="7933" width="12.28515625" style="47" customWidth="1"/>
    <col min="7934" max="7934" width="14.85546875" style="47" customWidth="1"/>
    <col min="7935" max="7935" width="14.42578125" style="47" customWidth="1"/>
    <col min="7936" max="7938" width="15.140625" style="47" customWidth="1"/>
    <col min="7939" max="7939" width="13.7109375" style="47" customWidth="1"/>
    <col min="7940" max="7940" width="16.28515625" style="47" customWidth="1"/>
    <col min="7941" max="7944" width="7.85546875" style="47"/>
    <col min="7945" max="7945" width="14.7109375" style="47" bestFit="1" customWidth="1"/>
    <col min="7946" max="8187" width="7.85546875" style="47"/>
    <col min="8188" max="8188" width="26.42578125" style="47" customWidth="1"/>
    <col min="8189" max="8189" width="12.28515625" style="47" customWidth="1"/>
    <col min="8190" max="8190" width="14.85546875" style="47" customWidth="1"/>
    <col min="8191" max="8191" width="14.42578125" style="47" customWidth="1"/>
    <col min="8192" max="8194" width="15.140625" style="47" customWidth="1"/>
    <col min="8195" max="8195" width="13.7109375" style="47" customWidth="1"/>
    <col min="8196" max="8196" width="16.28515625" style="47" customWidth="1"/>
    <col min="8197" max="8200" width="7.85546875" style="47"/>
    <col min="8201" max="8201" width="14.7109375" style="47" bestFit="1" customWidth="1"/>
    <col min="8202" max="8443" width="7.85546875" style="47"/>
    <col min="8444" max="8444" width="26.42578125" style="47" customWidth="1"/>
    <col min="8445" max="8445" width="12.28515625" style="47" customWidth="1"/>
    <col min="8446" max="8446" width="14.85546875" style="47" customWidth="1"/>
    <col min="8447" max="8447" width="14.42578125" style="47" customWidth="1"/>
    <col min="8448" max="8450" width="15.140625" style="47" customWidth="1"/>
    <col min="8451" max="8451" width="13.7109375" style="47" customWidth="1"/>
    <col min="8452" max="8452" width="16.28515625" style="47" customWidth="1"/>
    <col min="8453" max="8456" width="7.85546875" style="47"/>
    <col min="8457" max="8457" width="14.7109375" style="47" bestFit="1" customWidth="1"/>
    <col min="8458" max="8699" width="7.85546875" style="47"/>
    <col min="8700" max="8700" width="26.42578125" style="47" customWidth="1"/>
    <col min="8701" max="8701" width="12.28515625" style="47" customWidth="1"/>
    <col min="8702" max="8702" width="14.85546875" style="47" customWidth="1"/>
    <col min="8703" max="8703" width="14.42578125" style="47" customWidth="1"/>
    <col min="8704" max="8706" width="15.140625" style="47" customWidth="1"/>
    <col min="8707" max="8707" width="13.7109375" style="47" customWidth="1"/>
    <col min="8708" max="8708" width="16.28515625" style="47" customWidth="1"/>
    <col min="8709" max="8712" width="7.85546875" style="47"/>
    <col min="8713" max="8713" width="14.7109375" style="47" bestFit="1" customWidth="1"/>
    <col min="8714" max="8955" width="7.85546875" style="47"/>
    <col min="8956" max="8956" width="26.42578125" style="47" customWidth="1"/>
    <col min="8957" max="8957" width="12.28515625" style="47" customWidth="1"/>
    <col min="8958" max="8958" width="14.85546875" style="47" customWidth="1"/>
    <col min="8959" max="8959" width="14.42578125" style="47" customWidth="1"/>
    <col min="8960" max="8962" width="15.140625" style="47" customWidth="1"/>
    <col min="8963" max="8963" width="13.7109375" style="47" customWidth="1"/>
    <col min="8964" max="8964" width="16.28515625" style="47" customWidth="1"/>
    <col min="8965" max="8968" width="7.85546875" style="47"/>
    <col min="8969" max="8969" width="14.7109375" style="47" bestFit="1" customWidth="1"/>
    <col min="8970" max="9211" width="7.85546875" style="47"/>
    <col min="9212" max="9212" width="26.42578125" style="47" customWidth="1"/>
    <col min="9213" max="9213" width="12.28515625" style="47" customWidth="1"/>
    <col min="9214" max="9214" width="14.85546875" style="47" customWidth="1"/>
    <col min="9215" max="9215" width="14.42578125" style="47" customWidth="1"/>
    <col min="9216" max="9218" width="15.140625" style="47" customWidth="1"/>
    <col min="9219" max="9219" width="13.7109375" style="47" customWidth="1"/>
    <col min="9220" max="9220" width="16.28515625" style="47" customWidth="1"/>
    <col min="9221" max="9224" width="7.85546875" style="47"/>
    <col min="9225" max="9225" width="14.7109375" style="47" bestFit="1" customWidth="1"/>
    <col min="9226" max="9467" width="7.85546875" style="47"/>
    <col min="9468" max="9468" width="26.42578125" style="47" customWidth="1"/>
    <col min="9469" max="9469" width="12.28515625" style="47" customWidth="1"/>
    <col min="9470" max="9470" width="14.85546875" style="47" customWidth="1"/>
    <col min="9471" max="9471" width="14.42578125" style="47" customWidth="1"/>
    <col min="9472" max="9474" width="15.140625" style="47" customWidth="1"/>
    <col min="9475" max="9475" width="13.7109375" style="47" customWidth="1"/>
    <col min="9476" max="9476" width="16.28515625" style="47" customWidth="1"/>
    <col min="9477" max="9480" width="7.85546875" style="47"/>
    <col min="9481" max="9481" width="14.7109375" style="47" bestFit="1" customWidth="1"/>
    <col min="9482" max="9723" width="7.85546875" style="47"/>
    <col min="9724" max="9724" width="26.42578125" style="47" customWidth="1"/>
    <col min="9725" max="9725" width="12.28515625" style="47" customWidth="1"/>
    <col min="9726" max="9726" width="14.85546875" style="47" customWidth="1"/>
    <col min="9727" max="9727" width="14.42578125" style="47" customWidth="1"/>
    <col min="9728" max="9730" width="15.140625" style="47" customWidth="1"/>
    <col min="9731" max="9731" width="13.7109375" style="47" customWidth="1"/>
    <col min="9732" max="9732" width="16.28515625" style="47" customWidth="1"/>
    <col min="9733" max="9736" width="7.85546875" style="47"/>
    <col min="9737" max="9737" width="14.7109375" style="47" bestFit="1" customWidth="1"/>
    <col min="9738" max="9979" width="7.85546875" style="47"/>
    <col min="9980" max="9980" width="26.42578125" style="47" customWidth="1"/>
    <col min="9981" max="9981" width="12.28515625" style="47" customWidth="1"/>
    <col min="9982" max="9982" width="14.85546875" style="47" customWidth="1"/>
    <col min="9983" max="9983" width="14.42578125" style="47" customWidth="1"/>
    <col min="9984" max="9986" width="15.140625" style="47" customWidth="1"/>
    <col min="9987" max="9987" width="13.7109375" style="47" customWidth="1"/>
    <col min="9988" max="9988" width="16.28515625" style="47" customWidth="1"/>
    <col min="9989" max="9992" width="7.85546875" style="47"/>
    <col min="9993" max="9993" width="14.7109375" style="47" bestFit="1" customWidth="1"/>
    <col min="9994" max="10235" width="7.85546875" style="47"/>
    <col min="10236" max="10236" width="26.42578125" style="47" customWidth="1"/>
    <col min="10237" max="10237" width="12.28515625" style="47" customWidth="1"/>
    <col min="10238" max="10238" width="14.85546875" style="47" customWidth="1"/>
    <col min="10239" max="10239" width="14.42578125" style="47" customWidth="1"/>
    <col min="10240" max="10242" width="15.140625" style="47" customWidth="1"/>
    <col min="10243" max="10243" width="13.7109375" style="47" customWidth="1"/>
    <col min="10244" max="10244" width="16.28515625" style="47" customWidth="1"/>
    <col min="10245" max="10248" width="7.85546875" style="47"/>
    <col min="10249" max="10249" width="14.7109375" style="47" bestFit="1" customWidth="1"/>
    <col min="10250" max="10491" width="7.85546875" style="47"/>
    <col min="10492" max="10492" width="26.42578125" style="47" customWidth="1"/>
    <col min="10493" max="10493" width="12.28515625" style="47" customWidth="1"/>
    <col min="10494" max="10494" width="14.85546875" style="47" customWidth="1"/>
    <col min="10495" max="10495" width="14.42578125" style="47" customWidth="1"/>
    <col min="10496" max="10498" width="15.140625" style="47" customWidth="1"/>
    <col min="10499" max="10499" width="13.7109375" style="47" customWidth="1"/>
    <col min="10500" max="10500" width="16.28515625" style="47" customWidth="1"/>
    <col min="10501" max="10504" width="7.85546875" style="47"/>
    <col min="10505" max="10505" width="14.7109375" style="47" bestFit="1" customWidth="1"/>
    <col min="10506" max="10747" width="7.85546875" style="47"/>
    <col min="10748" max="10748" width="26.42578125" style="47" customWidth="1"/>
    <col min="10749" max="10749" width="12.28515625" style="47" customWidth="1"/>
    <col min="10750" max="10750" width="14.85546875" style="47" customWidth="1"/>
    <col min="10751" max="10751" width="14.42578125" style="47" customWidth="1"/>
    <col min="10752" max="10754" width="15.140625" style="47" customWidth="1"/>
    <col min="10755" max="10755" width="13.7109375" style="47" customWidth="1"/>
    <col min="10756" max="10756" width="16.28515625" style="47" customWidth="1"/>
    <col min="10757" max="10760" width="7.85546875" style="47"/>
    <col min="10761" max="10761" width="14.7109375" style="47" bestFit="1" customWidth="1"/>
    <col min="10762" max="11003" width="7.85546875" style="47"/>
    <col min="11004" max="11004" width="26.42578125" style="47" customWidth="1"/>
    <col min="11005" max="11005" width="12.28515625" style="47" customWidth="1"/>
    <col min="11006" max="11006" width="14.85546875" style="47" customWidth="1"/>
    <col min="11007" max="11007" width="14.42578125" style="47" customWidth="1"/>
    <col min="11008" max="11010" width="15.140625" style="47" customWidth="1"/>
    <col min="11011" max="11011" width="13.7109375" style="47" customWidth="1"/>
    <col min="11012" max="11012" width="16.28515625" style="47" customWidth="1"/>
    <col min="11013" max="11016" width="7.85546875" style="47"/>
    <col min="11017" max="11017" width="14.7109375" style="47" bestFit="1" customWidth="1"/>
    <col min="11018" max="11259" width="7.85546875" style="47"/>
    <col min="11260" max="11260" width="26.42578125" style="47" customWidth="1"/>
    <col min="11261" max="11261" width="12.28515625" style="47" customWidth="1"/>
    <col min="11262" max="11262" width="14.85546875" style="47" customWidth="1"/>
    <col min="11263" max="11263" width="14.42578125" style="47" customWidth="1"/>
    <col min="11264" max="11266" width="15.140625" style="47" customWidth="1"/>
    <col min="11267" max="11267" width="13.7109375" style="47" customWidth="1"/>
    <col min="11268" max="11268" width="16.28515625" style="47" customWidth="1"/>
    <col min="11269" max="11272" width="7.85546875" style="47"/>
    <col min="11273" max="11273" width="14.7109375" style="47" bestFit="1" customWidth="1"/>
    <col min="11274" max="11515" width="7.85546875" style="47"/>
    <col min="11516" max="11516" width="26.42578125" style="47" customWidth="1"/>
    <col min="11517" max="11517" width="12.28515625" style="47" customWidth="1"/>
    <col min="11518" max="11518" width="14.85546875" style="47" customWidth="1"/>
    <col min="11519" max="11519" width="14.42578125" style="47" customWidth="1"/>
    <col min="11520" max="11522" width="15.140625" style="47" customWidth="1"/>
    <col min="11523" max="11523" width="13.7109375" style="47" customWidth="1"/>
    <col min="11524" max="11524" width="16.28515625" style="47" customWidth="1"/>
    <col min="11525" max="11528" width="7.85546875" style="47"/>
    <col min="11529" max="11529" width="14.7109375" style="47" bestFit="1" customWidth="1"/>
    <col min="11530" max="11771" width="7.85546875" style="47"/>
    <col min="11772" max="11772" width="26.42578125" style="47" customWidth="1"/>
    <col min="11773" max="11773" width="12.28515625" style="47" customWidth="1"/>
    <col min="11774" max="11774" width="14.85546875" style="47" customWidth="1"/>
    <col min="11775" max="11775" width="14.42578125" style="47" customWidth="1"/>
    <col min="11776" max="11778" width="15.140625" style="47" customWidth="1"/>
    <col min="11779" max="11779" width="13.7109375" style="47" customWidth="1"/>
    <col min="11780" max="11780" width="16.28515625" style="47" customWidth="1"/>
    <col min="11781" max="11784" width="7.85546875" style="47"/>
    <col min="11785" max="11785" width="14.7109375" style="47" bestFit="1" customWidth="1"/>
    <col min="11786" max="12027" width="7.85546875" style="47"/>
    <col min="12028" max="12028" width="26.42578125" style="47" customWidth="1"/>
    <col min="12029" max="12029" width="12.28515625" style="47" customWidth="1"/>
    <col min="12030" max="12030" width="14.85546875" style="47" customWidth="1"/>
    <col min="12031" max="12031" width="14.42578125" style="47" customWidth="1"/>
    <col min="12032" max="12034" width="15.140625" style="47" customWidth="1"/>
    <col min="12035" max="12035" width="13.7109375" style="47" customWidth="1"/>
    <col min="12036" max="12036" width="16.28515625" style="47" customWidth="1"/>
    <col min="12037" max="12040" width="7.85546875" style="47"/>
    <col min="12041" max="12041" width="14.7109375" style="47" bestFit="1" customWidth="1"/>
    <col min="12042" max="12283" width="7.85546875" style="47"/>
    <col min="12284" max="12284" width="26.42578125" style="47" customWidth="1"/>
    <col min="12285" max="12285" width="12.28515625" style="47" customWidth="1"/>
    <col min="12286" max="12286" width="14.85546875" style="47" customWidth="1"/>
    <col min="12287" max="12287" width="14.42578125" style="47" customWidth="1"/>
    <col min="12288" max="12290" width="15.140625" style="47" customWidth="1"/>
    <col min="12291" max="12291" width="13.7109375" style="47" customWidth="1"/>
    <col min="12292" max="12292" width="16.28515625" style="47" customWidth="1"/>
    <col min="12293" max="12296" width="7.85546875" style="47"/>
    <col min="12297" max="12297" width="14.7109375" style="47" bestFit="1" customWidth="1"/>
    <col min="12298" max="12539" width="7.85546875" style="47"/>
    <col min="12540" max="12540" width="26.42578125" style="47" customWidth="1"/>
    <col min="12541" max="12541" width="12.28515625" style="47" customWidth="1"/>
    <col min="12542" max="12542" width="14.85546875" style="47" customWidth="1"/>
    <col min="12543" max="12543" width="14.42578125" style="47" customWidth="1"/>
    <col min="12544" max="12546" width="15.140625" style="47" customWidth="1"/>
    <col min="12547" max="12547" width="13.7109375" style="47" customWidth="1"/>
    <col min="12548" max="12548" width="16.28515625" style="47" customWidth="1"/>
    <col min="12549" max="12552" width="7.85546875" style="47"/>
    <col min="12553" max="12553" width="14.7109375" style="47" bestFit="1" customWidth="1"/>
    <col min="12554" max="12795" width="7.85546875" style="47"/>
    <col min="12796" max="12796" width="26.42578125" style="47" customWidth="1"/>
    <col min="12797" max="12797" width="12.28515625" style="47" customWidth="1"/>
    <col min="12798" max="12798" width="14.85546875" style="47" customWidth="1"/>
    <col min="12799" max="12799" width="14.42578125" style="47" customWidth="1"/>
    <col min="12800" max="12802" width="15.140625" style="47" customWidth="1"/>
    <col min="12803" max="12803" width="13.7109375" style="47" customWidth="1"/>
    <col min="12804" max="12804" width="16.28515625" style="47" customWidth="1"/>
    <col min="12805" max="12808" width="7.85546875" style="47"/>
    <col min="12809" max="12809" width="14.7109375" style="47" bestFit="1" customWidth="1"/>
    <col min="12810" max="13051" width="7.85546875" style="47"/>
    <col min="13052" max="13052" width="26.42578125" style="47" customWidth="1"/>
    <col min="13053" max="13053" width="12.28515625" style="47" customWidth="1"/>
    <col min="13054" max="13054" width="14.85546875" style="47" customWidth="1"/>
    <col min="13055" max="13055" width="14.42578125" style="47" customWidth="1"/>
    <col min="13056" max="13058" width="15.140625" style="47" customWidth="1"/>
    <col min="13059" max="13059" width="13.7109375" style="47" customWidth="1"/>
    <col min="13060" max="13060" width="16.28515625" style="47" customWidth="1"/>
    <col min="13061" max="13064" width="7.85546875" style="47"/>
    <col min="13065" max="13065" width="14.7109375" style="47" bestFit="1" customWidth="1"/>
    <col min="13066" max="13307" width="7.85546875" style="47"/>
    <col min="13308" max="13308" width="26.42578125" style="47" customWidth="1"/>
    <col min="13309" max="13309" width="12.28515625" style="47" customWidth="1"/>
    <col min="13310" max="13310" width="14.85546875" style="47" customWidth="1"/>
    <col min="13311" max="13311" width="14.42578125" style="47" customWidth="1"/>
    <col min="13312" max="13314" width="15.140625" style="47" customWidth="1"/>
    <col min="13315" max="13315" width="13.7109375" style="47" customWidth="1"/>
    <col min="13316" max="13316" width="16.28515625" style="47" customWidth="1"/>
    <col min="13317" max="13320" width="7.85546875" style="47"/>
    <col min="13321" max="13321" width="14.7109375" style="47" bestFit="1" customWidth="1"/>
    <col min="13322" max="13563" width="7.85546875" style="47"/>
    <col min="13564" max="13564" width="26.42578125" style="47" customWidth="1"/>
    <col min="13565" max="13565" width="12.28515625" style="47" customWidth="1"/>
    <col min="13566" max="13566" width="14.85546875" style="47" customWidth="1"/>
    <col min="13567" max="13567" width="14.42578125" style="47" customWidth="1"/>
    <col min="13568" max="13570" width="15.140625" style="47" customWidth="1"/>
    <col min="13571" max="13571" width="13.7109375" style="47" customWidth="1"/>
    <col min="13572" max="13572" width="16.28515625" style="47" customWidth="1"/>
    <col min="13573" max="13576" width="7.85546875" style="47"/>
    <col min="13577" max="13577" width="14.7109375" style="47" bestFit="1" customWidth="1"/>
    <col min="13578" max="13819" width="7.85546875" style="47"/>
    <col min="13820" max="13820" width="26.42578125" style="47" customWidth="1"/>
    <col min="13821" max="13821" width="12.28515625" style="47" customWidth="1"/>
    <col min="13822" max="13822" width="14.85546875" style="47" customWidth="1"/>
    <col min="13823" max="13823" width="14.42578125" style="47" customWidth="1"/>
    <col min="13824" max="13826" width="15.140625" style="47" customWidth="1"/>
    <col min="13827" max="13827" width="13.7109375" style="47" customWidth="1"/>
    <col min="13828" max="13828" width="16.28515625" style="47" customWidth="1"/>
    <col min="13829" max="13832" width="7.85546875" style="47"/>
    <col min="13833" max="13833" width="14.7109375" style="47" bestFit="1" customWidth="1"/>
    <col min="13834" max="14075" width="7.85546875" style="47"/>
    <col min="14076" max="14076" width="26.42578125" style="47" customWidth="1"/>
    <col min="14077" max="14077" width="12.28515625" style="47" customWidth="1"/>
    <col min="14078" max="14078" width="14.85546875" style="47" customWidth="1"/>
    <col min="14079" max="14079" width="14.42578125" style="47" customWidth="1"/>
    <col min="14080" max="14082" width="15.140625" style="47" customWidth="1"/>
    <col min="14083" max="14083" width="13.7109375" style="47" customWidth="1"/>
    <col min="14084" max="14084" width="16.28515625" style="47" customWidth="1"/>
    <col min="14085" max="14088" width="7.85546875" style="47"/>
    <col min="14089" max="14089" width="14.7109375" style="47" bestFit="1" customWidth="1"/>
    <col min="14090" max="14331" width="7.85546875" style="47"/>
    <col min="14332" max="14332" width="26.42578125" style="47" customWidth="1"/>
    <col min="14333" max="14333" width="12.28515625" style="47" customWidth="1"/>
    <col min="14334" max="14334" width="14.85546875" style="47" customWidth="1"/>
    <col min="14335" max="14335" width="14.42578125" style="47" customWidth="1"/>
    <col min="14336" max="14338" width="15.140625" style="47" customWidth="1"/>
    <col min="14339" max="14339" width="13.7109375" style="47" customWidth="1"/>
    <col min="14340" max="14340" width="16.28515625" style="47" customWidth="1"/>
    <col min="14341" max="14344" width="7.85546875" style="47"/>
    <col min="14345" max="14345" width="14.7109375" style="47" bestFit="1" customWidth="1"/>
    <col min="14346" max="14587" width="7.85546875" style="47"/>
    <col min="14588" max="14588" width="26.42578125" style="47" customWidth="1"/>
    <col min="14589" max="14589" width="12.28515625" style="47" customWidth="1"/>
    <col min="14590" max="14590" width="14.85546875" style="47" customWidth="1"/>
    <col min="14591" max="14591" width="14.42578125" style="47" customWidth="1"/>
    <col min="14592" max="14594" width="15.140625" style="47" customWidth="1"/>
    <col min="14595" max="14595" width="13.7109375" style="47" customWidth="1"/>
    <col min="14596" max="14596" width="16.28515625" style="47" customWidth="1"/>
    <col min="14597" max="14600" width="7.85546875" style="47"/>
    <col min="14601" max="14601" width="14.7109375" style="47" bestFit="1" customWidth="1"/>
    <col min="14602" max="14843" width="7.85546875" style="47"/>
    <col min="14844" max="14844" width="26.42578125" style="47" customWidth="1"/>
    <col min="14845" max="14845" width="12.28515625" style="47" customWidth="1"/>
    <col min="14846" max="14846" width="14.85546875" style="47" customWidth="1"/>
    <col min="14847" max="14847" width="14.42578125" style="47" customWidth="1"/>
    <col min="14848" max="14850" width="15.140625" style="47" customWidth="1"/>
    <col min="14851" max="14851" width="13.7109375" style="47" customWidth="1"/>
    <col min="14852" max="14852" width="16.28515625" style="47" customWidth="1"/>
    <col min="14853" max="14856" width="7.85546875" style="47"/>
    <col min="14857" max="14857" width="14.7109375" style="47" bestFit="1" customWidth="1"/>
    <col min="14858" max="15099" width="7.85546875" style="47"/>
    <col min="15100" max="15100" width="26.42578125" style="47" customWidth="1"/>
    <col min="15101" max="15101" width="12.28515625" style="47" customWidth="1"/>
    <col min="15102" max="15102" width="14.85546875" style="47" customWidth="1"/>
    <col min="15103" max="15103" width="14.42578125" style="47" customWidth="1"/>
    <col min="15104" max="15106" width="15.140625" style="47" customWidth="1"/>
    <col min="15107" max="15107" width="13.7109375" style="47" customWidth="1"/>
    <col min="15108" max="15108" width="16.28515625" style="47" customWidth="1"/>
    <col min="15109" max="15112" width="7.85546875" style="47"/>
    <col min="15113" max="15113" width="14.7109375" style="47" bestFit="1" customWidth="1"/>
    <col min="15114" max="15355" width="7.85546875" style="47"/>
    <col min="15356" max="15356" width="26.42578125" style="47" customWidth="1"/>
    <col min="15357" max="15357" width="12.28515625" style="47" customWidth="1"/>
    <col min="15358" max="15358" width="14.85546875" style="47" customWidth="1"/>
    <col min="15359" max="15359" width="14.42578125" style="47" customWidth="1"/>
    <col min="15360" max="15362" width="15.140625" style="47" customWidth="1"/>
    <col min="15363" max="15363" width="13.7109375" style="47" customWidth="1"/>
    <col min="15364" max="15364" width="16.28515625" style="47" customWidth="1"/>
    <col min="15365" max="15368" width="7.85546875" style="47"/>
    <col min="15369" max="15369" width="14.7109375" style="47" bestFit="1" customWidth="1"/>
    <col min="15370" max="15611" width="7.85546875" style="47"/>
    <col min="15612" max="15612" width="26.42578125" style="47" customWidth="1"/>
    <col min="15613" max="15613" width="12.28515625" style="47" customWidth="1"/>
    <col min="15614" max="15614" width="14.85546875" style="47" customWidth="1"/>
    <col min="15615" max="15615" width="14.42578125" style="47" customWidth="1"/>
    <col min="15616" max="15618" width="15.140625" style="47" customWidth="1"/>
    <col min="15619" max="15619" width="13.7109375" style="47" customWidth="1"/>
    <col min="15620" max="15620" width="16.28515625" style="47" customWidth="1"/>
    <col min="15621" max="15624" width="7.85546875" style="47"/>
    <col min="15625" max="15625" width="14.7109375" style="47" bestFit="1" customWidth="1"/>
    <col min="15626" max="15867" width="7.85546875" style="47"/>
    <col min="15868" max="15868" width="26.42578125" style="47" customWidth="1"/>
    <col min="15869" max="15869" width="12.28515625" style="47" customWidth="1"/>
    <col min="15870" max="15870" width="14.85546875" style="47" customWidth="1"/>
    <col min="15871" max="15871" width="14.42578125" style="47" customWidth="1"/>
    <col min="15872" max="15874" width="15.140625" style="47" customWidth="1"/>
    <col min="15875" max="15875" width="13.7109375" style="47" customWidth="1"/>
    <col min="15876" max="15876" width="16.28515625" style="47" customWidth="1"/>
    <col min="15877" max="15880" width="7.85546875" style="47"/>
    <col min="15881" max="15881" width="14.7109375" style="47" bestFit="1" customWidth="1"/>
    <col min="15882" max="16123" width="7.85546875" style="47"/>
    <col min="16124" max="16124" width="26.42578125" style="47" customWidth="1"/>
    <col min="16125" max="16125" width="12.28515625" style="47" customWidth="1"/>
    <col min="16126" max="16126" width="14.85546875" style="47" customWidth="1"/>
    <col min="16127" max="16127" width="14.42578125" style="47" customWidth="1"/>
    <col min="16128" max="16130" width="15.140625" style="47" customWidth="1"/>
    <col min="16131" max="16131" width="13.7109375" style="47" customWidth="1"/>
    <col min="16132" max="16132" width="16.28515625" style="47" customWidth="1"/>
    <col min="16133" max="16136" width="7.85546875" style="47"/>
    <col min="16137" max="16137" width="14.7109375" style="47" bestFit="1" customWidth="1"/>
    <col min="16138" max="16384" width="7.85546875" style="47"/>
  </cols>
  <sheetData>
    <row r="5" spans="1:9" ht="15.75" customHeight="1" x14ac:dyDescent="0.25">
      <c r="A5" s="324" t="s">
        <v>156</v>
      </c>
      <c r="B5" s="324"/>
      <c r="C5" s="324"/>
      <c r="D5" s="324"/>
      <c r="E5" s="324"/>
      <c r="F5" s="324"/>
      <c r="G5" s="324"/>
      <c r="H5" s="324"/>
      <c r="I5" s="324"/>
    </row>
    <row r="6" spans="1:9" s="51" customFormat="1" ht="21.75" customHeight="1" x14ac:dyDescent="0.35">
      <c r="A6" s="48" t="s">
        <v>0</v>
      </c>
      <c r="B6" s="49"/>
      <c r="C6" s="50"/>
      <c r="D6" s="50"/>
      <c r="E6" s="50"/>
      <c r="F6" s="50"/>
      <c r="G6" s="50"/>
      <c r="H6" s="50"/>
      <c r="I6" s="50"/>
    </row>
    <row r="7" spans="1:9" s="53" customFormat="1" ht="15.75" x14ac:dyDescent="0.25">
      <c r="A7" s="52" t="s">
        <v>63</v>
      </c>
    </row>
    <row r="8" spans="1:9" s="55" customFormat="1" ht="25.5" customHeight="1" x14ac:dyDescent="0.2">
      <c r="A8" s="54" t="s">
        <v>2</v>
      </c>
      <c r="B8" s="54" t="s">
        <v>64</v>
      </c>
      <c r="C8" s="54" t="s">
        <v>65</v>
      </c>
      <c r="D8" s="54" t="s">
        <v>66</v>
      </c>
      <c r="E8" s="54" t="s">
        <v>67</v>
      </c>
      <c r="F8" s="54" t="s">
        <v>68</v>
      </c>
      <c r="G8" s="54" t="s">
        <v>69</v>
      </c>
      <c r="H8" s="54" t="s">
        <v>70</v>
      </c>
      <c r="I8" s="54" t="s">
        <v>71</v>
      </c>
    </row>
    <row r="9" spans="1:9" customFormat="1" ht="17.25" customHeight="1" x14ac:dyDescent="0.25">
      <c r="A9" s="56" t="s">
        <v>72</v>
      </c>
      <c r="B9" s="57"/>
      <c r="C9" s="58"/>
      <c r="D9" s="59"/>
      <c r="E9" s="59"/>
      <c r="F9" s="59"/>
      <c r="G9" s="59"/>
      <c r="H9" s="59"/>
      <c r="I9" s="60"/>
    </row>
    <row r="10" spans="1:9" customFormat="1" ht="12.95" customHeight="1" x14ac:dyDescent="0.25">
      <c r="A10" s="62" t="s">
        <v>74</v>
      </c>
      <c r="B10" s="63">
        <v>1</v>
      </c>
      <c r="C10" s="319">
        <v>17.68</v>
      </c>
      <c r="D10" s="64">
        <v>11</v>
      </c>
      <c r="E10" s="65">
        <v>0</v>
      </c>
      <c r="F10" s="65">
        <f>(((C10*2.2*15)*B10)*1.7+((C10*11*3)*B10)*2)</f>
        <v>2158.7280000000001</v>
      </c>
      <c r="G10" s="65">
        <v>0</v>
      </c>
      <c r="H10" s="65">
        <f>C10*180*B10</f>
        <v>3182.4</v>
      </c>
      <c r="I10" s="234">
        <f t="shared" ref="I10" si="0">E10+F10+G10+H10</f>
        <v>5341.1280000000006</v>
      </c>
    </row>
    <row r="11" spans="1:9" customFormat="1" ht="12.95" customHeight="1" x14ac:dyDescent="0.25">
      <c r="A11" s="67" t="s">
        <v>75</v>
      </c>
      <c r="B11" s="63"/>
      <c r="C11" s="66"/>
      <c r="D11" s="64"/>
      <c r="E11" s="65"/>
      <c r="F11" s="65"/>
      <c r="G11" s="65">
        <v>0</v>
      </c>
      <c r="H11" s="65"/>
      <c r="I11" s="234"/>
    </row>
    <row r="12" spans="1:9" customFormat="1" ht="12.95" customHeight="1" x14ac:dyDescent="0.25">
      <c r="A12" s="62" t="s">
        <v>76</v>
      </c>
      <c r="B12" s="63">
        <v>6</v>
      </c>
      <c r="C12" s="66">
        <v>10.09</v>
      </c>
      <c r="D12" s="64">
        <v>11</v>
      </c>
      <c r="E12" s="65">
        <v>0</v>
      </c>
      <c r="F12" s="65">
        <f>(((C12*2.2*15)*B12)*1.7+((C12*11*3)*B12)*2)</f>
        <v>7391.9339999999993</v>
      </c>
      <c r="G12" s="65">
        <v>0</v>
      </c>
      <c r="H12" s="65">
        <f>C12*150*B12</f>
        <v>9081</v>
      </c>
      <c r="I12" s="234">
        <f>E12+F12+G12+H12</f>
        <v>16472.934000000001</v>
      </c>
    </row>
    <row r="13" spans="1:9" customFormat="1" ht="12.95" customHeight="1" x14ac:dyDescent="0.25">
      <c r="A13" s="62" t="s">
        <v>77</v>
      </c>
      <c r="B13" s="63">
        <v>10</v>
      </c>
      <c r="C13" s="318">
        <v>6.47</v>
      </c>
      <c r="D13" s="64">
        <v>11</v>
      </c>
      <c r="E13" s="65">
        <v>0</v>
      </c>
      <c r="F13" s="65">
        <f>(((C13*2.2*15)*B13)*1.7+((C13*11*3)*B13)*2)</f>
        <v>7899.869999999999</v>
      </c>
      <c r="G13" s="65">
        <v>0</v>
      </c>
      <c r="H13" s="65">
        <f>C13*150*B13</f>
        <v>9705</v>
      </c>
      <c r="I13" s="234">
        <f>E13+F13+G13+H13</f>
        <v>17604.87</v>
      </c>
    </row>
    <row r="14" spans="1:9" customFormat="1" ht="12.95" customHeight="1" x14ac:dyDescent="0.25">
      <c r="A14" s="62" t="s">
        <v>78</v>
      </c>
      <c r="B14" s="63">
        <v>1</v>
      </c>
      <c r="C14" s="66">
        <v>9.4600000000000009</v>
      </c>
      <c r="D14" s="64">
        <v>11</v>
      </c>
      <c r="E14" s="65">
        <v>0</v>
      </c>
      <c r="F14" s="65">
        <f>(((C14*2.2*15)*B14)*1.7+((C14*11*3)*B14)*2)</f>
        <v>1155.0660000000003</v>
      </c>
      <c r="G14" s="65">
        <v>0</v>
      </c>
      <c r="H14" s="65">
        <f>C14*150*B14</f>
        <v>1419.0000000000002</v>
      </c>
      <c r="I14" s="234">
        <f>E14+F14+G14+H14</f>
        <v>2574.0660000000007</v>
      </c>
    </row>
    <row r="15" spans="1:9" customFormat="1" ht="12.95" customHeight="1" x14ac:dyDescent="0.25">
      <c r="A15" s="68"/>
      <c r="B15" s="63"/>
      <c r="C15" s="69"/>
      <c r="D15" s="64"/>
      <c r="E15" s="64"/>
      <c r="F15" s="64"/>
      <c r="G15" s="64"/>
      <c r="H15" s="70"/>
      <c r="I15" s="235"/>
    </row>
    <row r="16" spans="1:9" customFormat="1" ht="12.95" customHeight="1" x14ac:dyDescent="0.25">
      <c r="A16" s="67"/>
      <c r="B16" s="72"/>
      <c r="C16" s="69"/>
      <c r="D16" s="64"/>
      <c r="E16" s="64"/>
      <c r="F16" s="64"/>
      <c r="G16" s="64"/>
      <c r="H16" s="64"/>
      <c r="I16" s="73"/>
    </row>
    <row r="17" spans="1:9" customFormat="1" ht="12.95" customHeight="1" x14ac:dyDescent="0.25">
      <c r="A17" s="74"/>
      <c r="B17" s="75"/>
      <c r="C17" s="69"/>
      <c r="D17" s="64"/>
      <c r="E17" s="76"/>
      <c r="F17" s="76"/>
      <c r="G17" s="76"/>
      <c r="H17" s="70"/>
      <c r="I17" s="71"/>
    </row>
    <row r="18" spans="1:9" customFormat="1" ht="14.1" customHeight="1" x14ac:dyDescent="0.25">
      <c r="A18" s="77" t="s">
        <v>79</v>
      </c>
      <c r="B18" s="78"/>
      <c r="C18" s="79"/>
      <c r="D18" s="80"/>
      <c r="E18" s="80"/>
      <c r="F18" s="80"/>
      <c r="G18" s="80"/>
      <c r="H18" s="80"/>
      <c r="I18" s="81"/>
    </row>
    <row r="19" spans="1:9" s="53" customFormat="1" ht="14.25" customHeight="1" x14ac:dyDescent="0.2">
      <c r="C19" s="82"/>
      <c r="D19" s="325" t="s">
        <v>80</v>
      </c>
      <c r="E19" s="326"/>
      <c r="F19" s="326"/>
      <c r="G19" s="326"/>
      <c r="H19" s="327"/>
      <c r="I19" s="83">
        <f>SUM(I10:I17)</f>
        <v>41992.998</v>
      </c>
    </row>
    <row r="20" spans="1:9" s="53" customFormat="1" ht="15.75" customHeight="1" x14ac:dyDescent="0.25">
      <c r="A20" s="214"/>
    </row>
    <row r="21" spans="1:9" s="53" customFormat="1" x14ac:dyDescent="0.2">
      <c r="A21" s="342" t="s">
        <v>174</v>
      </c>
      <c r="B21" s="342"/>
      <c r="C21" s="342"/>
      <c r="D21" s="342"/>
      <c r="E21" s="342"/>
      <c r="F21" s="342"/>
      <c r="G21" s="342"/>
    </row>
    <row r="22" spans="1:9" s="53" customFormat="1" x14ac:dyDescent="0.2">
      <c r="A22" s="241"/>
      <c r="B22" s="245" t="s">
        <v>153</v>
      </c>
      <c r="C22" s="245" t="s">
        <v>154</v>
      </c>
      <c r="D22" s="238" t="s">
        <v>151</v>
      </c>
      <c r="E22" s="238" t="s">
        <v>152</v>
      </c>
      <c r="F22" s="238" t="s">
        <v>155</v>
      </c>
      <c r="G22" s="238" t="s">
        <v>150</v>
      </c>
    </row>
    <row r="23" spans="1:9" s="53" customFormat="1" ht="12.75" x14ac:dyDescent="0.2">
      <c r="A23" s="62" t="s">
        <v>74</v>
      </c>
      <c r="B23" s="63">
        <v>1</v>
      </c>
      <c r="C23" s="242">
        <v>12</v>
      </c>
      <c r="D23" s="238">
        <v>5.4</v>
      </c>
      <c r="E23" s="238">
        <v>12.96</v>
      </c>
      <c r="F23" s="243">
        <v>10</v>
      </c>
      <c r="G23" s="244">
        <f t="shared" ref="G23:G26" si="1">(B23*C23*(D23+E23+F23))</f>
        <v>340.32</v>
      </c>
    </row>
    <row r="24" spans="1:9" s="53" customFormat="1" ht="12.75" x14ac:dyDescent="0.2">
      <c r="A24" s="62" t="s">
        <v>76</v>
      </c>
      <c r="B24" s="63">
        <v>4</v>
      </c>
      <c r="C24" s="242">
        <v>2</v>
      </c>
      <c r="D24" s="238">
        <v>5.4</v>
      </c>
      <c r="E24" s="238">
        <v>12.96</v>
      </c>
      <c r="F24" s="243">
        <v>10</v>
      </c>
      <c r="G24" s="244">
        <f t="shared" si="1"/>
        <v>226.88</v>
      </c>
    </row>
    <row r="25" spans="1:9" s="53" customFormat="1" ht="15" customHeight="1" x14ac:dyDescent="0.2">
      <c r="A25" s="62" t="s">
        <v>77</v>
      </c>
      <c r="B25" s="63">
        <v>10</v>
      </c>
      <c r="C25" s="242">
        <v>12</v>
      </c>
      <c r="D25" s="238">
        <v>5.4</v>
      </c>
      <c r="E25" s="238">
        <v>12.96</v>
      </c>
      <c r="F25" s="243">
        <v>10</v>
      </c>
      <c r="G25" s="244">
        <f t="shared" si="1"/>
        <v>3403.2</v>
      </c>
    </row>
    <row r="26" spans="1:9" s="53" customFormat="1" ht="12.75" x14ac:dyDescent="0.2">
      <c r="A26" s="62" t="s">
        <v>78</v>
      </c>
      <c r="B26" s="63">
        <v>1</v>
      </c>
      <c r="C26" s="242">
        <v>12</v>
      </c>
      <c r="D26" s="238">
        <v>5.4</v>
      </c>
      <c r="E26" s="238">
        <v>12.96</v>
      </c>
      <c r="F26" s="243">
        <v>10</v>
      </c>
      <c r="G26" s="244">
        <f t="shared" si="1"/>
        <v>340.32</v>
      </c>
    </row>
    <row r="27" spans="1:9" s="53" customFormat="1" ht="6.75" customHeight="1" x14ac:dyDescent="0.2">
      <c r="A27" s="218"/>
      <c r="B27" s="219"/>
      <c r="C27" s="217"/>
      <c r="G27" s="239"/>
    </row>
    <row r="28" spans="1:9" s="53" customFormat="1" x14ac:dyDescent="0.2">
      <c r="A28" s="218"/>
      <c r="B28" s="219"/>
      <c r="C28" s="217"/>
      <c r="G28" s="240">
        <f>SUM(G23:G26)</f>
        <v>4310.7199999999993</v>
      </c>
    </row>
    <row r="29" spans="1:9" s="53" customFormat="1" ht="15.75" x14ac:dyDescent="0.25">
      <c r="A29" s="220"/>
      <c r="B29" s="219"/>
      <c r="C29" s="221"/>
    </row>
    <row r="30" spans="1:9" s="53" customFormat="1" ht="12.75" x14ac:dyDescent="0.2"/>
    <row r="31" spans="1:9" s="53" customFormat="1" ht="12.75" x14ac:dyDescent="0.2"/>
    <row r="32" spans="1:9" s="53" customFormat="1" ht="12.75" x14ac:dyDescent="0.2"/>
    <row r="33" s="53" customFormat="1" ht="12.75" x14ac:dyDescent="0.2"/>
    <row r="34" s="53" customFormat="1" ht="12.75" x14ac:dyDescent="0.2"/>
    <row r="35" s="53" customFormat="1" ht="12.75" x14ac:dyDescent="0.2"/>
    <row r="36" s="53" customFormat="1" ht="12.75" x14ac:dyDescent="0.2"/>
    <row r="37" s="53" customFormat="1" ht="12.75" x14ac:dyDescent="0.2"/>
    <row r="38" s="53" customFormat="1" ht="12.75" x14ac:dyDescent="0.2"/>
    <row r="39" s="53" customFormat="1" ht="12.75" x14ac:dyDescent="0.2"/>
    <row r="40" s="53" customFormat="1" ht="12.75" x14ac:dyDescent="0.2"/>
    <row r="41" s="53" customFormat="1" ht="12.75" x14ac:dyDescent="0.2"/>
    <row r="42" s="53" customFormat="1" ht="12.75" x14ac:dyDescent="0.2"/>
    <row r="43" s="53" customFormat="1" ht="12.75" x14ac:dyDescent="0.2"/>
    <row r="44" s="53" customFormat="1" ht="12.75" x14ac:dyDescent="0.2"/>
    <row r="45" s="53" customFormat="1" ht="12.75" x14ac:dyDescent="0.2"/>
    <row r="46" s="53" customFormat="1" ht="12.75" x14ac:dyDescent="0.2"/>
  </sheetData>
  <mergeCells count="3">
    <mergeCell ref="A21:G21"/>
    <mergeCell ref="A5:I5"/>
    <mergeCell ref="D19:H19"/>
  </mergeCells>
  <pageMargins left="0.511811024" right="0.511811024" top="0.78740157499999996" bottom="0.78740157499999996" header="0.31496062000000002" footer="0.31496062000000002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DFP_870 L 18 </vt:lpstr>
      <vt:lpstr>DFP-uas</vt:lpstr>
      <vt:lpstr>DFP_870 L 18 COMPLEMENTO</vt:lpstr>
      <vt:lpstr>DFP-uas COMPLEMENTO</vt:lpstr>
      <vt:lpstr>'DFP_870 L 18 '!Area_de_impressao</vt:lpstr>
      <vt:lpstr>'DFP_870 L 18 COMPLEMENTO'!Area_de_impressao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2018-03-13T17:41:02Z</cp:lastPrinted>
  <dcterms:created xsi:type="dcterms:W3CDTF">2015-06-16T16:59:49Z</dcterms:created>
  <dcterms:modified xsi:type="dcterms:W3CDTF">2018-03-13T17:41:05Z</dcterms:modified>
</cp:coreProperties>
</file>