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lanejamento\5 - OUTROS\3 - UNIGEL\"/>
    </mc:Choice>
  </mc:AlternateContent>
  <xr:revisionPtr revIDLastSave="0" documentId="8_{14949929-DC09-41B4-9B8E-658A24D335F5}" xr6:coauthVersionLast="46" xr6:coauthVersionMax="46" xr10:uidLastSave="{00000000-0000-0000-0000-000000000000}"/>
  <bookViews>
    <workbookView xWindow="-108" yWindow="-108" windowWidth="23256" windowHeight="12456" xr2:uid="{00000000-000D-0000-FFFF-FFFF00000000}"/>
  </bookViews>
  <sheets>
    <sheet name="DFP MOD" sheetId="9" r:id="rId1"/>
    <sheet name="BASE MOD" sheetId="8" r:id="rId2"/>
    <sheet name="DFP MOI" sheetId="27" r:id="rId3"/>
    <sheet name="BASE MOI" sheetId="28" r:id="rId4"/>
  </sheets>
  <definedNames>
    <definedName name="_xlnm.Print_Area" localSheetId="0">'DFP MOD'!$A$1:$E$143</definedName>
    <definedName name="_xlnm.Print_Area" localSheetId="2">'DFP MOI'!$A$1:$E$149</definedName>
  </definedNames>
  <calcPr calcId="191029" concurrentCalc="0"/>
</workbook>
</file>

<file path=xl/calcChain.xml><?xml version="1.0" encoding="utf-8"?>
<calcChain xmlns="http://schemas.openxmlformats.org/spreadsheetml/2006/main">
  <c r="I6" i="9" l="1"/>
  <c r="D36" i="28"/>
  <c r="D37" i="28"/>
  <c r="D38" i="28"/>
  <c r="D35" i="28"/>
  <c r="O49" i="28"/>
  <c r="O50" i="28"/>
  <c r="O51" i="28"/>
  <c r="O52" i="28"/>
  <c r="O53" i="28"/>
  <c r="C46" i="27"/>
  <c r="D46" i="27"/>
  <c r="D39" i="28"/>
  <c r="C43" i="27"/>
  <c r="D43" i="27"/>
  <c r="D52" i="27"/>
  <c r="E54" i="27"/>
  <c r="D62" i="8"/>
  <c r="D63" i="8"/>
  <c r="D64" i="8"/>
  <c r="D65" i="8"/>
  <c r="D61" i="8"/>
  <c r="H9" i="9"/>
  <c r="H10" i="9"/>
  <c r="H11" i="9"/>
  <c r="H12" i="9"/>
  <c r="H8" i="9"/>
  <c r="D54" i="8"/>
  <c r="D55" i="8"/>
  <c r="D56" i="8"/>
  <c r="D57" i="8"/>
  <c r="D53" i="8"/>
  <c r="D22" i="8"/>
  <c r="I9" i="9"/>
  <c r="B9" i="9"/>
  <c r="E9" i="9"/>
  <c r="I10" i="9"/>
  <c r="B10" i="9"/>
  <c r="E10" i="9"/>
  <c r="I11" i="9"/>
  <c r="B11" i="9"/>
  <c r="E11" i="9"/>
  <c r="I12" i="9"/>
  <c r="B12" i="9"/>
  <c r="E12" i="9"/>
  <c r="C12" i="27"/>
  <c r="E12" i="27"/>
  <c r="D23" i="8"/>
  <c r="D13" i="8"/>
  <c r="D15" i="8"/>
  <c r="D20" i="8"/>
  <c r="D14" i="8"/>
  <c r="D11" i="8"/>
  <c r="D12" i="8"/>
  <c r="D16" i="8"/>
  <c r="D17" i="8"/>
  <c r="D18" i="8"/>
  <c r="D19" i="8"/>
  <c r="D21" i="8"/>
  <c r="D24" i="8"/>
  <c r="D72" i="28"/>
  <c r="D73" i="28"/>
  <c r="D74" i="28"/>
  <c r="D75" i="28"/>
  <c r="D76" i="28"/>
  <c r="C124" i="27"/>
  <c r="E63" i="28"/>
  <c r="G63" i="28"/>
  <c r="E64" i="28"/>
  <c r="G64" i="28"/>
  <c r="E65" i="28"/>
  <c r="G65" i="28"/>
  <c r="E66" i="28"/>
  <c r="G66" i="28"/>
  <c r="G68" i="28"/>
  <c r="C49" i="27"/>
  <c r="D94" i="8"/>
  <c r="D95" i="8"/>
  <c r="D96" i="8"/>
  <c r="D97" i="8"/>
  <c r="D98" i="8"/>
  <c r="D99" i="8"/>
  <c r="D100" i="8"/>
  <c r="C118" i="9"/>
  <c r="C44" i="9"/>
  <c r="B8" i="9"/>
  <c r="E8" i="9"/>
  <c r="I8" i="9"/>
  <c r="D56" i="28"/>
  <c r="D57" i="28"/>
  <c r="D58" i="28"/>
  <c r="D59" i="28"/>
  <c r="D60" i="28"/>
  <c r="C48" i="27"/>
  <c r="E49" i="28"/>
  <c r="G49" i="28"/>
  <c r="J49" i="28"/>
  <c r="E50" i="28"/>
  <c r="G50" i="28"/>
  <c r="J50" i="28"/>
  <c r="E51" i="28"/>
  <c r="G51" i="28"/>
  <c r="J51" i="28"/>
  <c r="E52" i="28"/>
  <c r="G52" i="28"/>
  <c r="J52" i="28"/>
  <c r="D42" i="28"/>
  <c r="D43" i="28"/>
  <c r="D44" i="28"/>
  <c r="D45" i="28"/>
  <c r="D46" i="28"/>
  <c r="C45" i="27"/>
  <c r="D28" i="28"/>
  <c r="D29" i="28"/>
  <c r="D30" i="28"/>
  <c r="D31" i="28"/>
  <c r="D32" i="28"/>
  <c r="C42" i="27"/>
  <c r="D6" i="28"/>
  <c r="C11" i="27"/>
  <c r="D4" i="28"/>
  <c r="C9" i="27"/>
  <c r="D5" i="28"/>
  <c r="D3" i="28"/>
  <c r="C8" i="27"/>
  <c r="D78" i="8"/>
  <c r="D79" i="8"/>
  <c r="D80" i="8"/>
  <c r="D81" i="8"/>
  <c r="D77" i="8"/>
  <c r="J70" i="8"/>
  <c r="J71" i="8"/>
  <c r="J72" i="8"/>
  <c r="J73" i="8"/>
  <c r="J69" i="8"/>
  <c r="E70" i="8"/>
  <c r="E71" i="8"/>
  <c r="E69" i="8"/>
  <c r="H70" i="8"/>
  <c r="H71" i="8"/>
  <c r="H72" i="8"/>
  <c r="H73" i="8"/>
  <c r="H69" i="8"/>
  <c r="I69" i="8"/>
  <c r="I70" i="8"/>
  <c r="I71" i="8"/>
  <c r="C26" i="9"/>
  <c r="Q20" i="28"/>
  <c r="Q21" i="28"/>
  <c r="Q22" i="28"/>
  <c r="Q23" i="28"/>
  <c r="Q24" i="28"/>
  <c r="Q25" i="28"/>
  <c r="D11" i="28"/>
  <c r="D12" i="28"/>
  <c r="D13" i="28"/>
  <c r="D14" i="28"/>
  <c r="D15" i="28"/>
  <c r="D16" i="28"/>
  <c r="D124" i="27"/>
  <c r="D127" i="27"/>
  <c r="C132" i="27"/>
  <c r="D132" i="27"/>
  <c r="D135" i="27"/>
  <c r="E146" i="27"/>
  <c r="D90" i="27"/>
  <c r="D91" i="27"/>
  <c r="D93" i="27"/>
  <c r="C97" i="27"/>
  <c r="D97" i="27"/>
  <c r="C98" i="27"/>
  <c r="D98" i="27"/>
  <c r="D100" i="27"/>
  <c r="C105" i="27"/>
  <c r="D105" i="27"/>
  <c r="D108" i="27"/>
  <c r="E119" i="27"/>
  <c r="E8" i="27"/>
  <c r="E9" i="27"/>
  <c r="E10" i="27"/>
  <c r="E11" i="27"/>
  <c r="E13" i="27"/>
  <c r="E14" i="27"/>
  <c r="E15" i="27"/>
  <c r="E17" i="27"/>
  <c r="C22" i="27"/>
  <c r="E24" i="27"/>
  <c r="D27" i="27"/>
  <c r="D28" i="27"/>
  <c r="D29" i="27"/>
  <c r="D30" i="27"/>
  <c r="D31" i="27"/>
  <c r="D32" i="27"/>
  <c r="D33" i="27"/>
  <c r="D34" i="27"/>
  <c r="D28" i="8"/>
  <c r="D29" i="8"/>
  <c r="D30" i="8"/>
  <c r="D31" i="8"/>
  <c r="D32" i="8"/>
  <c r="D33" i="8"/>
  <c r="D37" i="27"/>
  <c r="Q37" i="8"/>
  <c r="Q38" i="8"/>
  <c r="Q39" i="8"/>
  <c r="Q40" i="8"/>
  <c r="Q41" i="8"/>
  <c r="Q42" i="8"/>
  <c r="D38" i="27"/>
  <c r="D39" i="27"/>
  <c r="D45" i="8"/>
  <c r="D46" i="8"/>
  <c r="D47" i="8"/>
  <c r="D48" i="8"/>
  <c r="D49" i="8"/>
  <c r="D50" i="8"/>
  <c r="D42" i="27"/>
  <c r="D58" i="8"/>
  <c r="D44" i="27"/>
  <c r="D66" i="8"/>
  <c r="D45" i="27"/>
  <c r="G69" i="8"/>
  <c r="O69" i="8"/>
  <c r="G70" i="8"/>
  <c r="O70" i="8"/>
  <c r="G71" i="8"/>
  <c r="O71" i="8"/>
  <c r="E72" i="8"/>
  <c r="G72" i="8"/>
  <c r="O72" i="8"/>
  <c r="E73" i="8"/>
  <c r="G73" i="8"/>
  <c r="O73" i="8"/>
  <c r="O74" i="8"/>
  <c r="D47" i="27"/>
  <c r="D82" i="8"/>
  <c r="D48" i="27"/>
  <c r="E85" i="8"/>
  <c r="G85" i="8"/>
  <c r="E86" i="8"/>
  <c r="G86" i="8"/>
  <c r="E87" i="8"/>
  <c r="G87" i="8"/>
  <c r="E88" i="8"/>
  <c r="G88" i="8"/>
  <c r="E89" i="8"/>
  <c r="G89" i="8"/>
  <c r="G90" i="8"/>
  <c r="D49" i="27"/>
  <c r="D50" i="27"/>
  <c r="D51" i="27"/>
  <c r="C58" i="27"/>
  <c r="D58" i="27"/>
  <c r="C59" i="27"/>
  <c r="D59" i="27"/>
  <c r="C60" i="27"/>
  <c r="D60" i="27"/>
  <c r="D62" i="27"/>
  <c r="C67" i="27"/>
  <c r="D67" i="27"/>
  <c r="D70" i="27"/>
  <c r="E74" i="27"/>
  <c r="E85" i="27"/>
  <c r="E148" i="27"/>
  <c r="D153" i="27"/>
  <c r="E153" i="27"/>
  <c r="B144" i="27"/>
  <c r="B117" i="27"/>
  <c r="C43" i="9"/>
  <c r="C42" i="9"/>
  <c r="B41" i="9"/>
  <c r="C40" i="9"/>
  <c r="C39" i="9"/>
  <c r="C37" i="9"/>
  <c r="C36" i="9"/>
  <c r="C31" i="9"/>
  <c r="C32" i="9"/>
  <c r="D32" i="9"/>
  <c r="D27" i="9"/>
  <c r="D4" i="8"/>
  <c r="D7" i="8"/>
  <c r="D39" i="9"/>
  <c r="D37" i="9"/>
  <c r="D38" i="9"/>
  <c r="D41" i="9"/>
  <c r="D44" i="9"/>
  <c r="D45" i="9"/>
  <c r="D42" i="9"/>
  <c r="D31" i="9"/>
  <c r="D43" i="9"/>
  <c r="B138" i="9"/>
  <c r="B111" i="9"/>
  <c r="D85" i="9"/>
  <c r="D84" i="9"/>
  <c r="D87" i="9"/>
  <c r="C91" i="9"/>
  <c r="D91" i="9"/>
  <c r="B77" i="9"/>
  <c r="D26" i="9"/>
  <c r="D28" i="9"/>
  <c r="D36" i="9"/>
  <c r="D5" i="8"/>
  <c r="D6" i="8"/>
  <c r="D3" i="8"/>
  <c r="E13" i="9"/>
  <c r="E14" i="9"/>
  <c r="E16" i="9"/>
  <c r="D33" i="9"/>
  <c r="C92" i="9"/>
  <c r="D92" i="9"/>
  <c r="D94" i="9"/>
  <c r="Q93" i="8"/>
  <c r="D40" i="9"/>
  <c r="D46" i="9"/>
  <c r="C21" i="9"/>
  <c r="E23" i="9"/>
  <c r="D118" i="9"/>
  <c r="D121" i="9"/>
  <c r="C99" i="9"/>
  <c r="D99" i="9"/>
  <c r="D102" i="9"/>
  <c r="E113" i="9"/>
  <c r="E48" i="9"/>
  <c r="C61" i="9"/>
  <c r="D61" i="9"/>
  <c r="D64" i="9"/>
  <c r="C126" i="9"/>
  <c r="D126" i="9"/>
  <c r="D129" i="9"/>
  <c r="E140" i="9"/>
  <c r="C53" i="9"/>
  <c r="D53" i="9"/>
  <c r="C54" i="9"/>
  <c r="D54" i="9"/>
  <c r="C52" i="9"/>
  <c r="D52" i="9"/>
  <c r="D56" i="9"/>
  <c r="E68" i="9"/>
  <c r="E79" i="9"/>
  <c r="E14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lvnf@msn.com</author>
  </authors>
  <commentList>
    <comment ref="I6" authorId="0" shapeId="0" xr:uid="{97D2ADAE-84AE-4641-AFD9-6CFD1FE8893B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CUSTO INDIRETOS A SER DILUÍDO NA MOD. 
Foi considerado apenas esse valor para poder chegar no valor golbal desejado para 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lvnf@msn.com</author>
    <author>Monsertec</author>
  </authors>
  <commentList>
    <comment ref="C6" authorId="0" shapeId="0" xr:uid="{BC38A772-3A72-4EAE-A5DF-57A45C213DFD}">
      <text>
        <r>
          <rPr>
            <b/>
            <sz val="9"/>
            <color indexed="81"/>
            <rFont val="Segoe UI"/>
            <charset val="1"/>
          </rPr>
          <t>lvnf@msn.com:</t>
        </r>
        <r>
          <rPr>
            <sz val="9"/>
            <color indexed="81"/>
            <rFont val="Segoe UI"/>
            <charset val="1"/>
          </rPr>
          <t xml:space="preserve">
considerado valor de Pedro Lúcio</t>
        </r>
      </text>
    </comment>
    <comment ref="C15" authorId="0" shapeId="0" xr:uid="{55BDCB99-B0B0-48A0-AF70-48EA4223F434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Sr Paulo solicitou retirar e ajustar na negociação</t>
        </r>
      </text>
    </comment>
    <comment ref="Q36" authorId="1" shapeId="0" xr:uid="{AC485168-76E9-4DB5-BC56-8BF229C65B14}">
      <text>
        <r>
          <rPr>
            <sz val="9"/>
            <color indexed="81"/>
            <rFont val="Segoe UI"/>
            <family val="2"/>
          </rPr>
          <t xml:space="preserve">
CONSIDERAR UM CONSUMO A CADA 6 MESES</t>
        </r>
      </text>
    </comment>
    <comment ref="D52" authorId="0" shapeId="0" xr:uid="{C32482D8-0174-4B66-9F24-EC810184C822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ADMISSIONAL + DEMISSIONAL</t>
        </r>
      </text>
    </comment>
    <comment ref="D60" authorId="0" shapeId="0" xr:uid="{0C828202-D3E8-4E32-8017-37B75F5836DC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MÉDIA DE 2,5 FARDAMENTO POR PESSOA</t>
        </r>
      </text>
    </comment>
    <comment ref="D76" authorId="1" shapeId="0" xr:uid="{B845C099-0752-4BDB-9A8A-973484D948C1}">
      <text>
        <r>
          <rPr>
            <sz val="9"/>
            <color indexed="81"/>
            <rFont val="Segoe UI"/>
            <family val="2"/>
          </rPr>
          <t xml:space="preserve">
DUAS FARDAS DIA</t>
        </r>
      </text>
    </comment>
    <comment ref="C97" authorId="0" shapeId="0" xr:uid="{F904BC06-D940-477D-A711-A593724FB6D2}">
      <text>
        <r>
          <rPr>
            <b/>
            <sz val="9"/>
            <color indexed="81"/>
            <rFont val="Segoe UI"/>
            <charset val="1"/>
          </rPr>
          <t>lvnf@msn.com:</t>
        </r>
        <r>
          <rPr>
            <sz val="9"/>
            <color indexed="81"/>
            <rFont val="Segoe UI"/>
            <charset val="1"/>
          </rPr>
          <t xml:space="preserve">
considerado valor de Pedro Lúcio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lvnf@msn.com</author>
    <author>Monsertec</author>
  </authors>
  <commentList>
    <comment ref="C6" authorId="0" shapeId="0" xr:uid="{7346B039-1CFC-4D6E-8231-4F13CFCE10BC}">
      <text>
        <r>
          <rPr>
            <b/>
            <sz val="9"/>
            <color indexed="81"/>
            <rFont val="Segoe UI"/>
            <charset val="1"/>
          </rPr>
          <t>lvnf@msn.com:</t>
        </r>
        <r>
          <rPr>
            <sz val="9"/>
            <color indexed="81"/>
            <rFont val="Segoe UI"/>
            <charset val="1"/>
          </rPr>
          <t xml:space="preserve">
considerado valor de Pedro Lúcio</t>
        </r>
      </text>
    </comment>
    <comment ref="Q19" authorId="1" shapeId="0" xr:uid="{808B73AB-544B-4F72-BFE9-502CC69FF0A7}">
      <text>
        <r>
          <rPr>
            <sz val="9"/>
            <color indexed="81"/>
            <rFont val="Segoe UI"/>
            <family val="2"/>
          </rPr>
          <t xml:space="preserve">
CONSIDERAR UM CONSUMO A CADA 6 MESES</t>
        </r>
      </text>
    </comment>
    <comment ref="D34" authorId="0" shapeId="0" xr:uid="{F941F7BC-EB1A-4EA2-82EC-95E14E79D6D0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ADMISSIONAL + DEMISSIONAL</t>
        </r>
      </text>
    </comment>
    <comment ref="D41" authorId="0" shapeId="0" xr:uid="{C975DE87-A5FB-4295-B64D-E748D7775571}">
      <text>
        <r>
          <rPr>
            <b/>
            <sz val="9"/>
            <color indexed="81"/>
            <rFont val="Segoe UI"/>
            <family val="2"/>
          </rPr>
          <t>lvnf@msn.com:</t>
        </r>
        <r>
          <rPr>
            <sz val="9"/>
            <color indexed="81"/>
            <rFont val="Segoe UI"/>
            <family val="2"/>
          </rPr>
          <t xml:space="preserve">
MÉDIA DE 2,5 FARDAMENTO POR PESSOA</t>
        </r>
      </text>
    </comment>
    <comment ref="D55" authorId="1" shapeId="0" xr:uid="{A8E82246-17B7-4A31-BCA6-02D2B7911A4F}">
      <text>
        <r>
          <rPr>
            <sz val="9"/>
            <color indexed="81"/>
            <rFont val="Segoe UI"/>
            <family val="2"/>
          </rPr>
          <t xml:space="preserve">
DUAS FARDAS DIA</t>
        </r>
      </text>
    </comment>
    <comment ref="C75" authorId="0" shapeId="0" xr:uid="{7BC90A99-D665-4962-8F49-D0F2ADDAD447}">
      <text>
        <r>
          <rPr>
            <b/>
            <sz val="9"/>
            <color indexed="81"/>
            <rFont val="Segoe UI"/>
            <charset val="1"/>
          </rPr>
          <t>lvnf@msn.com:</t>
        </r>
        <r>
          <rPr>
            <sz val="9"/>
            <color indexed="81"/>
            <rFont val="Segoe UI"/>
            <charset val="1"/>
          </rPr>
          <t xml:space="preserve">
considerado valor de Pedro Lúcio</t>
        </r>
      </text>
    </comment>
  </commentList>
</comments>
</file>

<file path=xl/sharedStrings.xml><?xml version="1.0" encoding="utf-8"?>
<sst xmlns="http://schemas.openxmlformats.org/spreadsheetml/2006/main" count="502" uniqueCount="150">
  <si>
    <t>1.Custos Diretos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</si>
  <si>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</si>
  <si>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</si>
  <si>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</si>
  <si>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</si>
  <si>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</si>
  <si>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</si>
  <si>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</si>
  <si>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</si>
  <si>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</si>
  <si>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</si>
  <si>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</si>
  <si>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</si>
  <si>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</si>
  <si>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</si>
  <si>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</si>
  <si>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</si>
  <si>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</si>
  <si>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</si>
  <si>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</si>
  <si>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</si>
  <si>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</si>
  <si>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</si>
  <si>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</si>
  <si>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</si>
  <si>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</si>
  <si>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</si>
  <si>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</si>
  <si>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</si>
  <si>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</si>
  <si>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</si>
  <si>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</si>
  <si>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</si>
  <si>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</si>
  <si>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</si>
  <si>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</si>
  <si>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</si>
  <si>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</si>
  <si>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</si>
  <si>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</si>
  <si>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</si>
  <si>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</si>
  <si>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</si>
  <si>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</si>
  <si>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</si>
  <si>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</si>
  <si>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DEMONSTRATIVO DE FORMAÇÃO DE PREÇO DOS SERVIÇOS </t>
  </si>
  <si>
    <t xml:space="preserve">Preço Total para Faturamento </t>
  </si>
  <si>
    <t>Exames Médicos</t>
  </si>
  <si>
    <t>Seguro de Acidentes Pessoais</t>
  </si>
  <si>
    <t>Cesta Básica</t>
  </si>
  <si>
    <t>Higienização de EPI´S</t>
  </si>
  <si>
    <t>vb</t>
  </si>
  <si>
    <t>Adm. Central e Gerenciamento</t>
  </si>
  <si>
    <t>Despesas Financeiras</t>
  </si>
  <si>
    <t>Lucro Operacional</t>
  </si>
  <si>
    <t>Provisão p/ IRPJ e CSLL</t>
  </si>
  <si>
    <t>Fardamento</t>
  </si>
  <si>
    <t>EPI's</t>
  </si>
  <si>
    <t>Aviso Prévio Indenizado</t>
  </si>
  <si>
    <t>Hospedagem</t>
  </si>
  <si>
    <t xml:space="preserve">Passagem </t>
  </si>
  <si>
    <t>7. Prêmio Parada</t>
  </si>
  <si>
    <t>Prêmio de Parada</t>
  </si>
  <si>
    <t>7.1 Custos Indiretos</t>
  </si>
  <si>
    <t>7.2 Tributos Incidentes sobre o Lucro</t>
  </si>
  <si>
    <t>7.3 Tributos Incidentes sobre o Faturamento</t>
  </si>
  <si>
    <t>7.4 .Preço Total  (R$)</t>
  </si>
  <si>
    <t>8. Aviso Prévio Indenizado</t>
  </si>
  <si>
    <t>8.1 Tributos Incidentes sobre o Lucro</t>
  </si>
  <si>
    <t>8.2 Tributos Incidentes sobre o Faturamento</t>
  </si>
  <si>
    <t>8.3 Preço Total  (R$)</t>
  </si>
  <si>
    <t>Total</t>
  </si>
  <si>
    <t>lanche</t>
  </si>
  <si>
    <t>almoço</t>
  </si>
  <si>
    <t>Dias</t>
  </si>
  <si>
    <t>Qtd</t>
  </si>
  <si>
    <t>desjejum</t>
  </si>
  <si>
    <t>Ferramentas Manuais</t>
  </si>
  <si>
    <t>Alimentação</t>
  </si>
  <si>
    <t>Téc. Segurança</t>
  </si>
  <si>
    <t>Encarregado</t>
  </si>
  <si>
    <t>Refratarista</t>
  </si>
  <si>
    <t>TRANSPORTE</t>
  </si>
  <si>
    <t>EPI'S</t>
  </si>
  <si>
    <t>VALOR</t>
  </si>
  <si>
    <t>FARDAMENTO</t>
  </si>
  <si>
    <t>CAPACETE</t>
  </si>
  <si>
    <t>VISOR</t>
  </si>
  <si>
    <t>BOTINA</t>
  </si>
  <si>
    <t>CINTO</t>
  </si>
  <si>
    <t>TOTAL</t>
  </si>
  <si>
    <t>FERRAMENTAS</t>
  </si>
  <si>
    <t>TESOURA ESQ</t>
  </si>
  <si>
    <t>TESOURA DIR</t>
  </si>
  <si>
    <t>TESOURA RETA</t>
  </si>
  <si>
    <t>REBITADOR</t>
  </si>
  <si>
    <t>COMPASSO</t>
  </si>
  <si>
    <t>ALICATE</t>
  </si>
  <si>
    <t>FACA</t>
  </si>
  <si>
    <t>ESQUADRO</t>
  </si>
  <si>
    <t>NÍVEL</t>
  </si>
  <si>
    <t>PRUMO</t>
  </si>
  <si>
    <t>COLHER P.</t>
  </si>
  <si>
    <t>CARNEIRA</t>
  </si>
  <si>
    <t>PROTETOR</t>
  </si>
  <si>
    <t>LUVA VAQ</t>
  </si>
  <si>
    <t>MASCARA PFF2</t>
  </si>
  <si>
    <t>LUVA CL</t>
  </si>
  <si>
    <t>POCHETE</t>
  </si>
  <si>
    <t>EXAMES MÉDICOS</t>
  </si>
  <si>
    <t>HIGIENIZAÇÃO DE EPI'S</t>
  </si>
  <si>
    <t>VALOR HORA</t>
  </si>
  <si>
    <t>ALIMENTAÇÃO</t>
  </si>
  <si>
    <t>HORAS MÊS</t>
  </si>
  <si>
    <t>VALOR HH</t>
  </si>
  <si>
    <t>Ajudante</t>
  </si>
  <si>
    <t>VALOR UNIT</t>
  </si>
  <si>
    <t>Cortador</t>
  </si>
  <si>
    <t>VALOR hora</t>
  </si>
  <si>
    <t>MISTURADOR ELÉTRICO</t>
  </si>
  <si>
    <t>BATEDEIRA ELÉTRICA</t>
  </si>
  <si>
    <t>MÁQUINA DE CORTE</t>
  </si>
  <si>
    <t>SERRA TICO-TICO</t>
  </si>
  <si>
    <t>SERROTE</t>
  </si>
  <si>
    <t>MARRETA BORRACHA</t>
  </si>
  <si>
    <t>ARCO DE SERRA</t>
  </si>
  <si>
    <t>MATERIAIS DE CONSUMO</t>
  </si>
  <si>
    <t>DISCO DE CORTE GRANDE</t>
  </si>
  <si>
    <t>RESPIRADOR PANORÂMICO</t>
  </si>
  <si>
    <t>MÁSCAR SEMI-FACIAL</t>
  </si>
  <si>
    <t>SUPERVISOR</t>
  </si>
  <si>
    <t>TEC. PLANEJAMENTO</t>
  </si>
  <si>
    <t>ALMOX.</t>
  </si>
  <si>
    <t>MOTORISTA</t>
  </si>
  <si>
    <t>EQUIPAMENTOS PRINCIPAIS</t>
  </si>
  <si>
    <t xml:space="preserve">AR CONDICIONADO </t>
  </si>
  <si>
    <t>TOLDO 6 X 6 (VIVÊNCIA)</t>
  </si>
  <si>
    <t>CONTAINER ADM</t>
  </si>
  <si>
    <t>CONTAINER ALMOX</t>
  </si>
  <si>
    <t>RÁDIO</t>
  </si>
  <si>
    <t>CAMINHÃO MUNK</t>
  </si>
  <si>
    <t>CARRO DE APOIO</t>
  </si>
  <si>
    <t>DFP INDIRETOS</t>
  </si>
  <si>
    <t>CONTAINER VESTUÁRIO</t>
  </si>
  <si>
    <t>Capacitação (ART, PT, Riscos críticos e TB, NR 10, 33 e 35)</t>
  </si>
  <si>
    <t>Montador</t>
  </si>
  <si>
    <t>AVISO</t>
  </si>
  <si>
    <t>COMPUTADORES/IMPRESSORA</t>
  </si>
  <si>
    <t>ESTAGIÁRIO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</si>
</sst>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0.0"/>
    <numFmt numFmtId="167" formatCode="&quot;R$&quot;\ #,##0.00"/>
    <numFmt numFmtId="169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5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5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3" fillId="0" borderId="0" xfId="1" applyFont="1"/>
    <xf numFmtId="0" fontId="4" fillId="2" borderId="4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 applyProtection="1">
      <alignment vertical="center"/>
      <protection locked="0"/>
    </xf>
    <xf numFmtId="0" fontId="2" fillId="3" borderId="13" xfId="1" applyFont="1" applyFill="1" applyBorder="1" applyAlignment="1" applyProtection="1">
      <alignment horizontal="center"/>
      <protection locked="0"/>
    </xf>
    <xf numFmtId="165" fontId="2" fillId="3" borderId="13" xfId="3" applyFont="1" applyFill="1" applyBorder="1" applyAlignment="1" applyProtection="1">
      <alignment horizontal="center" wrapText="1"/>
      <protection locked="0"/>
    </xf>
    <xf numFmtId="0" fontId="2" fillId="3" borderId="13" xfId="3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10" fontId="2" fillId="3" borderId="9" xfId="1" applyNumberFormat="1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center" wrapText="1"/>
    </xf>
    <xf numFmtId="10" fontId="2" fillId="3" borderId="1" xfId="1" applyNumberFormat="1" applyFont="1" applyFill="1" applyBorder="1" applyAlignment="1" applyProtection="1">
      <alignment horizontal="center"/>
      <protection locked="0"/>
    </xf>
    <xf numFmtId="0" fontId="3" fillId="4" borderId="4" xfId="1" applyFont="1" applyFill="1" applyBorder="1" applyAlignment="1">
      <alignment horizontal="right" vertical="center"/>
    </xf>
    <xf numFmtId="0" fontId="3" fillId="4" borderId="5" xfId="1" applyFont="1" applyFill="1" applyBorder="1" applyAlignment="1">
      <alignment vertical="center"/>
    </xf>
    <xf numFmtId="0" fontId="2" fillId="4" borderId="7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5" fontId="3" fillId="0" borderId="7" xfId="1" applyNumberFormat="1" applyFont="1" applyBorder="1" applyAlignment="1" applyProtection="1">
      <alignment vertical="center"/>
      <protection locked="0"/>
    </xf>
    <xf numFmtId="165" fontId="2" fillId="2" borderId="13" xfId="3" applyFont="1" applyFill="1" applyBorder="1" applyAlignment="1" applyProtection="1">
      <alignment horizontal="center" vertical="center"/>
    </xf>
    <xf numFmtId="165" fontId="3" fillId="0" borderId="13" xfId="3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4" borderId="7" xfId="1" applyNumberFormat="1" applyFont="1" applyFill="1" applyBorder="1" applyAlignment="1" applyProtection="1">
      <alignment horizontal="right" vertical="center"/>
    </xf>
    <xf numFmtId="165" fontId="2" fillId="2" borderId="9" xfId="3" applyFont="1" applyFill="1" applyBorder="1" applyAlignment="1" applyProtection="1">
      <alignment horizontal="center"/>
    </xf>
    <xf numFmtId="165" fontId="2" fillId="2" borderId="1" xfId="3" applyFont="1" applyFill="1" applyBorder="1" applyAlignment="1" applyProtection="1">
      <alignment horizontal="center"/>
    </xf>
    <xf numFmtId="0" fontId="1" fillId="0" borderId="10" xfId="1" applyBorder="1"/>
    <xf numFmtId="0" fontId="3" fillId="4" borderId="5" xfId="1" applyFont="1" applyFill="1" applyBorder="1" applyAlignment="1">
      <alignment horizontal="right" vertical="center"/>
    </xf>
    <xf numFmtId="10" fontId="3" fillId="4" borderId="4" xfId="2" applyNumberFormat="1" applyFont="1" applyFill="1" applyBorder="1" applyAlignment="1" applyProtection="1">
      <alignment vertical="center"/>
    </xf>
    <xf numFmtId="0" fontId="3" fillId="2" borderId="7" xfId="1" applyFont="1" applyFill="1" applyBorder="1" applyAlignment="1">
      <alignment horizontal="center" vertical="center" wrapText="1"/>
    </xf>
    <xf numFmtId="165" fontId="3" fillId="4" borderId="4" xfId="2" applyNumberFormat="1" applyFont="1" applyFill="1" applyBorder="1" applyAlignment="1" applyProtection="1">
      <alignment vertical="center"/>
    </xf>
    <xf numFmtId="0" fontId="2" fillId="0" borderId="16" xfId="1" applyFont="1" applyFill="1" applyBorder="1" applyProtection="1">
      <protection locked="0"/>
    </xf>
    <xf numFmtId="0" fontId="3" fillId="5" borderId="4" xfId="1" applyFont="1" applyFill="1" applyBorder="1" applyAlignment="1">
      <alignment horizontal="right" vertical="center"/>
    </xf>
    <xf numFmtId="165" fontId="3" fillId="5" borderId="4" xfId="1" applyNumberFormat="1" applyFont="1" applyFill="1" applyBorder="1" applyAlignment="1" applyProtection="1">
      <alignment horizontal="right" vertical="center"/>
    </xf>
    <xf numFmtId="0" fontId="2" fillId="5" borderId="4" xfId="1" applyFont="1" applyFill="1" applyBorder="1"/>
    <xf numFmtId="0" fontId="3" fillId="6" borderId="4" xfId="1" applyFont="1" applyFill="1" applyBorder="1" applyAlignment="1">
      <alignment horizontal="right" vertical="center"/>
    </xf>
    <xf numFmtId="165" fontId="3" fillId="6" borderId="7" xfId="1" applyNumberFormat="1" applyFont="1" applyFill="1" applyBorder="1" applyAlignment="1" applyProtection="1">
      <alignment horizontal="right" vertical="center"/>
    </xf>
    <xf numFmtId="0" fontId="7" fillId="0" borderId="0" xfId="1" applyFont="1"/>
    <xf numFmtId="0" fontId="3" fillId="5" borderId="5" xfId="1" applyFont="1" applyFill="1" applyBorder="1" applyAlignment="1">
      <alignment vertical="center"/>
    </xf>
    <xf numFmtId="0" fontId="3" fillId="5" borderId="6" xfId="1" applyFont="1" applyFill="1" applyBorder="1" applyAlignment="1">
      <alignment vertical="center"/>
    </xf>
    <xf numFmtId="0" fontId="3" fillId="5" borderId="7" xfId="1" applyFont="1" applyFill="1" applyBorder="1" applyAlignment="1">
      <alignment vertical="center"/>
    </xf>
    <xf numFmtId="165" fontId="3" fillId="5" borderId="4" xfId="3" applyFont="1" applyFill="1" applyBorder="1" applyAlignment="1" applyProtection="1">
      <alignment vertical="center"/>
    </xf>
    <xf numFmtId="0" fontId="1" fillId="3" borderId="13" xfId="1" applyFont="1" applyFill="1" applyBorder="1" applyAlignment="1" applyProtection="1">
      <alignment vertical="center"/>
      <protection locked="0"/>
    </xf>
    <xf numFmtId="0" fontId="1" fillId="0" borderId="12" xfId="1" applyFont="1" applyBorder="1"/>
    <xf numFmtId="0" fontId="1" fillId="3" borderId="15" xfId="1" applyNumberFormat="1" applyFont="1" applyFill="1" applyBorder="1" applyAlignment="1" applyProtection="1">
      <alignment horizontal="center"/>
      <protection locked="0"/>
    </xf>
    <xf numFmtId="165" fontId="1" fillId="3" borderId="9" xfId="3" applyFont="1" applyFill="1" applyBorder="1" applyAlignment="1" applyProtection="1">
      <alignment horizontal="center"/>
      <protection locked="0"/>
    </xf>
    <xf numFmtId="165" fontId="1" fillId="2" borderId="20" xfId="1" applyNumberFormat="1" applyFont="1" applyFill="1" applyBorder="1" applyAlignment="1" applyProtection="1">
      <alignment horizontal="center"/>
    </xf>
    <xf numFmtId="0" fontId="1" fillId="0" borderId="19" xfId="1" applyFont="1" applyBorder="1"/>
    <xf numFmtId="0" fontId="1" fillId="3" borderId="9" xfId="1" applyNumberFormat="1" applyFont="1" applyFill="1" applyBorder="1" applyAlignment="1" applyProtection="1">
      <alignment horizontal="center"/>
      <protection locked="0"/>
    </xf>
    <xf numFmtId="0" fontId="1" fillId="0" borderId="9" xfId="1" applyFont="1" applyBorder="1"/>
    <xf numFmtId="165" fontId="1" fillId="2" borderId="9" xfId="1" applyNumberFormat="1" applyFont="1" applyFill="1" applyBorder="1" applyAlignment="1" applyProtection="1">
      <alignment horizontal="center"/>
    </xf>
    <xf numFmtId="10" fontId="1" fillId="3" borderId="9" xfId="1" applyNumberFormat="1" applyFont="1" applyFill="1" applyBorder="1" applyAlignment="1" applyProtection="1">
      <alignment horizontal="left"/>
      <protection locked="0"/>
    </xf>
    <xf numFmtId="0" fontId="1" fillId="0" borderId="0" xfId="1" applyFont="1"/>
    <xf numFmtId="0" fontId="1" fillId="0" borderId="3" xfId="1" applyFont="1" applyBorder="1"/>
    <xf numFmtId="0" fontId="1" fillId="3" borderId="9" xfId="1" applyFont="1" applyFill="1" applyBorder="1" applyAlignment="1" applyProtection="1">
      <alignment horizontal="center"/>
      <protection locked="0"/>
    </xf>
    <xf numFmtId="165" fontId="1" fillId="2" borderId="13" xfId="3" applyFont="1" applyFill="1" applyBorder="1" applyAlignment="1" applyProtection="1">
      <alignment horizontal="center"/>
    </xf>
    <xf numFmtId="10" fontId="1" fillId="3" borderId="8" xfId="1" applyNumberFormat="1" applyFont="1" applyFill="1" applyBorder="1" applyAlignment="1" applyProtection="1">
      <alignment horizontal="center"/>
      <protection locked="0"/>
    </xf>
    <xf numFmtId="165" fontId="1" fillId="2" borderId="8" xfId="3" applyFont="1" applyFill="1" applyBorder="1" applyAlignment="1" applyProtection="1">
      <alignment horizontal="center"/>
    </xf>
    <xf numFmtId="10" fontId="1" fillId="3" borderId="9" xfId="1" applyNumberFormat="1" applyFont="1" applyFill="1" applyBorder="1" applyAlignment="1" applyProtection="1">
      <alignment horizontal="center"/>
      <protection locked="0"/>
    </xf>
    <xf numFmtId="165" fontId="1" fillId="2" borderId="9" xfId="3" applyFont="1" applyFill="1" applyBorder="1" applyAlignment="1" applyProtection="1">
      <alignment horizontal="center"/>
    </xf>
    <xf numFmtId="0" fontId="1" fillId="0" borderId="18" xfId="1" applyFont="1" applyFill="1" applyBorder="1" applyProtection="1">
      <protection locked="0"/>
    </xf>
    <xf numFmtId="10" fontId="1" fillId="3" borderId="17" xfId="1" applyNumberFormat="1" applyFont="1" applyFill="1" applyBorder="1" applyAlignment="1" applyProtection="1">
      <alignment horizontal="center"/>
      <protection locked="0"/>
    </xf>
    <xf numFmtId="165" fontId="1" fillId="2" borderId="17" xfId="3" applyFont="1" applyFill="1" applyBorder="1" applyAlignment="1" applyProtection="1">
      <alignment horizontal="center"/>
    </xf>
    <xf numFmtId="0" fontId="1" fillId="0" borderId="14" xfId="1" applyFont="1" applyFill="1" applyBorder="1" applyProtection="1">
      <protection locked="0"/>
    </xf>
    <xf numFmtId="10" fontId="1" fillId="3" borderId="14" xfId="1" applyNumberFormat="1" applyFont="1" applyFill="1" applyBorder="1" applyAlignment="1" applyProtection="1">
      <alignment horizontal="center"/>
      <protection locked="0"/>
    </xf>
    <xf numFmtId="165" fontId="1" fillId="2" borderId="14" xfId="3" applyFont="1" applyFill="1" applyBorder="1" applyAlignment="1" applyProtection="1">
      <alignment horizontal="center"/>
    </xf>
    <xf numFmtId="10" fontId="1" fillId="3" borderId="1" xfId="1" applyNumberFormat="1" applyFont="1" applyFill="1" applyBorder="1" applyAlignment="1" applyProtection="1">
      <alignment horizontal="center"/>
      <protection locked="0"/>
    </xf>
    <xf numFmtId="0" fontId="2" fillId="3" borderId="14" xfId="3" applyNumberFormat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Protection="1">
      <protection locked="0"/>
    </xf>
    <xf numFmtId="0" fontId="1" fillId="0" borderId="2" xfId="1" applyFont="1" applyBorder="1"/>
    <xf numFmtId="0" fontId="3" fillId="7" borderId="0" xfId="1" applyFont="1" applyFill="1" applyAlignment="1">
      <alignment horizontal="left" vertical="center"/>
    </xf>
    <xf numFmtId="0" fontId="3" fillId="7" borderId="0" xfId="1" applyFont="1" applyFill="1" applyAlignment="1">
      <alignment horizontal="left"/>
    </xf>
    <xf numFmtId="0" fontId="0" fillId="7" borderId="0" xfId="0" applyFill="1"/>
    <xf numFmtId="165" fontId="5" fillId="7" borderId="0" xfId="3" applyFont="1" applyFill="1" applyBorder="1" applyAlignment="1" applyProtection="1">
      <alignment vertical="center"/>
    </xf>
    <xf numFmtId="0" fontId="1" fillId="0" borderId="9" xfId="1" applyFont="1" applyFill="1" applyBorder="1" applyProtection="1">
      <protection locked="0"/>
    </xf>
    <xf numFmtId="165" fontId="3" fillId="4" borderId="1" xfId="1" applyNumberFormat="1" applyFont="1" applyFill="1" applyBorder="1" applyAlignment="1" applyProtection="1">
      <alignment horizontal="right" vertical="center"/>
    </xf>
    <xf numFmtId="0" fontId="1" fillId="0" borderId="8" xfId="1" applyFont="1" applyBorder="1"/>
    <xf numFmtId="43" fontId="1" fillId="0" borderId="0" xfId="1" applyNumberFormat="1" applyFont="1"/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44" fontId="3" fillId="7" borderId="0" xfId="4" applyFont="1" applyFill="1" applyBorder="1" applyAlignment="1">
      <alignment horizontal="left"/>
    </xf>
    <xf numFmtId="0" fontId="1" fillId="0" borderId="16" xfId="1" applyFont="1" applyFill="1" applyBorder="1" applyProtection="1">
      <protection locked="0"/>
    </xf>
    <xf numFmtId="165" fontId="1" fillId="2" borderId="1" xfId="3" applyFont="1" applyFill="1" applyBorder="1" applyAlignment="1" applyProtection="1">
      <alignment horizontal="center"/>
    </xf>
    <xf numFmtId="0" fontId="1" fillId="4" borderId="7" xfId="1" applyFont="1" applyFill="1" applyBorder="1" applyAlignment="1">
      <alignment vertical="center"/>
    </xf>
    <xf numFmtId="0" fontId="1" fillId="0" borderId="1" xfId="1" applyFont="1" applyBorder="1"/>
    <xf numFmtId="0" fontId="9" fillId="0" borderId="0" xfId="0" applyFont="1"/>
    <xf numFmtId="0" fontId="1" fillId="0" borderId="0" xfId="0" applyFont="1"/>
    <xf numFmtId="44" fontId="1" fillId="0" borderId="4" xfId="4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4" xfId="0" applyFont="1" applyFill="1" applyBorder="1" applyAlignment="1" applyProtection="1">
      <alignment vertical="center"/>
      <protection locked="0"/>
    </xf>
    <xf numFmtId="165" fontId="1" fillId="0" borderId="4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167" fontId="1" fillId="0" borderId="0" xfId="0" applyNumberFormat="1" applyFont="1"/>
    <xf numFmtId="167" fontId="1" fillId="0" borderId="0" xfId="0" applyNumberFormat="1" applyFont="1" applyBorder="1"/>
    <xf numFmtId="164" fontId="0" fillId="0" borderId="0" xfId="0" applyNumberFormat="1"/>
    <xf numFmtId="0" fontId="2" fillId="0" borderId="24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44" fontId="3" fillId="9" borderId="4" xfId="4" applyFont="1" applyFill="1" applyBorder="1" applyAlignment="1">
      <alignment horizontal="left"/>
    </xf>
    <xf numFmtId="0" fontId="3" fillId="9" borderId="4" xfId="1" applyFont="1" applyFill="1" applyBorder="1" applyAlignment="1">
      <alignment horizontal="center" vertical="center" wrapText="1"/>
    </xf>
    <xf numFmtId="10" fontId="3" fillId="9" borderId="4" xfId="1" applyNumberFormat="1" applyFont="1" applyFill="1" applyBorder="1" applyAlignment="1" applyProtection="1">
      <alignment horizontal="center" vertical="center"/>
    </xf>
    <xf numFmtId="0" fontId="3" fillId="9" borderId="0" xfId="1" applyFont="1" applyFill="1" applyBorder="1" applyAlignment="1">
      <alignment horizontal="left"/>
    </xf>
    <xf numFmtId="165" fontId="3" fillId="9" borderId="4" xfId="1" applyNumberFormat="1" applyFont="1" applyFill="1" applyBorder="1" applyAlignment="1" applyProtection="1">
      <alignment vertical="center"/>
    </xf>
    <xf numFmtId="0" fontId="3" fillId="9" borderId="7" xfId="1" applyFont="1" applyFill="1" applyBorder="1" applyAlignment="1">
      <alignment vertical="center"/>
    </xf>
    <xf numFmtId="0" fontId="3" fillId="9" borderId="5" xfId="1" applyFont="1" applyFill="1" applyBorder="1" applyAlignment="1">
      <alignment vertical="center"/>
    </xf>
    <xf numFmtId="0" fontId="3" fillId="9" borderId="6" xfId="1" applyFont="1" applyFill="1" applyBorder="1" applyAlignment="1">
      <alignment vertical="center"/>
    </xf>
    <xf numFmtId="0" fontId="1" fillId="9" borderId="6" xfId="1" applyFont="1" applyFill="1" applyBorder="1" applyAlignment="1">
      <alignment vertical="center"/>
    </xf>
    <xf numFmtId="0" fontId="1" fillId="9" borderId="7" xfId="1" applyFont="1" applyFill="1" applyBorder="1" applyAlignment="1">
      <alignment vertical="center"/>
    </xf>
    <xf numFmtId="44" fontId="3" fillId="9" borderId="4" xfId="4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5" borderId="0" xfId="0" applyFont="1" applyFill="1"/>
    <xf numFmtId="44" fontId="11" fillId="0" borderId="0" xfId="0" applyNumberFormat="1" applyFont="1"/>
    <xf numFmtId="169" fontId="11" fillId="0" borderId="0" xfId="0" applyNumberFormat="1" applyFont="1" applyBorder="1" applyAlignment="1">
      <alignment horizontal="center"/>
    </xf>
    <xf numFmtId="44" fontId="11" fillId="0" borderId="0" xfId="0" applyNumberFormat="1" applyFont="1" applyFill="1"/>
    <xf numFmtId="0" fontId="3" fillId="9" borderId="0" xfId="1" applyFont="1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44" fontId="1" fillId="9" borderId="4" xfId="4" applyFont="1" applyFill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/>
    </xf>
    <xf numFmtId="165" fontId="1" fillId="9" borderId="4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4" fontId="1" fillId="0" borderId="0" xfId="4" applyFont="1" applyBorder="1" applyAlignment="1">
      <alignment horizontal="center" vertical="center"/>
    </xf>
    <xf numFmtId="0" fontId="1" fillId="5" borderId="25" xfId="0" applyFont="1" applyFill="1" applyBorder="1"/>
    <xf numFmtId="0" fontId="9" fillId="0" borderId="1" xfId="0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1" applyFont="1" applyFill="1" applyBorder="1"/>
    <xf numFmtId="169" fontId="0" fillId="0" borderId="0" xfId="0" applyNumberForma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9" borderId="0" xfId="1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3" fillId="9" borderId="0" xfId="1" applyFont="1" applyFill="1" applyAlignment="1">
      <alignment horizontal="left" vertical="center"/>
    </xf>
    <xf numFmtId="0" fontId="1" fillId="0" borderId="4" xfId="0" applyNumberFormat="1" applyFont="1" applyBorder="1" applyAlignment="1">
      <alignment horizontal="center"/>
    </xf>
    <xf numFmtId="0" fontId="2" fillId="3" borderId="9" xfId="3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/>
    <xf numFmtId="0" fontId="1" fillId="10" borderId="4" xfId="0" applyFont="1" applyFill="1" applyBorder="1" applyAlignment="1">
      <alignment horizontal="center"/>
    </xf>
    <xf numFmtId="165" fontId="1" fillId="10" borderId="4" xfId="0" applyNumberFormat="1" applyFont="1" applyFill="1" applyBorder="1" applyAlignment="1">
      <alignment horizontal="center"/>
    </xf>
    <xf numFmtId="0" fontId="1" fillId="10" borderId="4" xfId="0" applyNumberFormat="1" applyFont="1" applyFill="1" applyBorder="1" applyAlignment="1">
      <alignment horizontal="center"/>
    </xf>
    <xf numFmtId="169" fontId="1" fillId="10" borderId="4" xfId="0" applyNumberFormat="1" applyFont="1" applyFill="1" applyBorder="1" applyAlignment="1">
      <alignment horizontal="center"/>
    </xf>
    <xf numFmtId="44" fontId="1" fillId="0" borderId="4" xfId="4" applyFont="1" applyBorder="1" applyAlignment="1">
      <alignment horizontal="center"/>
    </xf>
    <xf numFmtId="43" fontId="0" fillId="0" borderId="0" xfId="0" applyNumberFormat="1"/>
    <xf numFmtId="44" fontId="0" fillId="0" borderId="0" xfId="4" applyFont="1"/>
    <xf numFmtId="44" fontId="0" fillId="0" borderId="0" xfId="0" applyNumberFormat="1"/>
    <xf numFmtId="169" fontId="2" fillId="3" borderId="13" xfId="3" applyNumberFormat="1" applyFont="1" applyFill="1" applyBorder="1" applyAlignment="1" applyProtection="1">
      <alignment horizontal="center" wrapText="1"/>
      <protection locked="0"/>
    </xf>
    <xf numFmtId="9" fontId="0" fillId="0" borderId="0" xfId="5" applyFont="1" applyAlignment="1">
      <alignment horizontal="center"/>
    </xf>
    <xf numFmtId="165" fontId="16" fillId="10" borderId="4" xfId="3" applyFont="1" applyFill="1" applyBorder="1" applyAlignment="1" applyProtection="1">
      <alignment vertical="center"/>
    </xf>
    <xf numFmtId="0" fontId="10" fillId="10" borderId="9" xfId="1" applyFont="1" applyFill="1" applyBorder="1" applyProtection="1">
      <protection locked="0"/>
    </xf>
    <xf numFmtId="0" fontId="10" fillId="0" borderId="4" xfId="0" applyFont="1" applyFill="1" applyBorder="1" applyAlignment="1">
      <alignment horizontal="center"/>
    </xf>
    <xf numFmtId="169" fontId="10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9" fontId="1" fillId="0" borderId="4" xfId="0" applyNumberFormat="1" applyFont="1" applyFill="1" applyBorder="1" applyAlignment="1">
      <alignment horizontal="center"/>
    </xf>
  </cellXfs>
  <cellStyles count="6">
    <cellStyle name="Moeda" xfId="4" builtinId="4"/>
    <cellStyle name="Normal" xfId="0" builtinId="0"/>
    <cellStyle name="Normal 2" xfId="1" xr:uid="{00000000-0005-0000-0000-000002000000}"/>
    <cellStyle name="Porcentagem" xfId="5" builtinId="5"/>
    <cellStyle name="Porcentagem 2" xfId="2" xr:uid="{00000000-0005-0000-0000-000004000000}"/>
    <cellStyle name="Vírgula 2" xfId="3" xr:uid="{00000000-0005-0000-0000-000006000000}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23CD-7314-414C-9952-A35F9EBD853A}">
  <dimension ref="A1:J147"/>
  <sheetViews>
    <sheetView showGridLines="0" tabSelected="1" zoomScaleNormal="100" zoomScaleSheetLayoutView="90" workbookViewId="0">
      <selection activeCell="C137" sqref="C137"/>
    </sheetView>
  </sheetViews>
  <sheetFormatPr defaultRowHeight="14.4" x14ac:dyDescent="0.3"/>
  <cols>
    <col min="1" max="1" width="50.44140625" customWidth="1"/>
    <col min="2" max="2" width="13.109375" customWidth="1"/>
    <col min="3" max="3" width="24.33203125" customWidth="1"/>
    <col min="4" max="4" width="12" customWidth="1"/>
    <col min="5" max="5" width="18.33203125" customWidth="1"/>
    <col min="8" max="10" width="14" customWidth="1"/>
    <col min="11" max="13" width="8.88671875" customWidth="1"/>
  </cols>
  <sheetData>
    <row r="1" spans="1:9" ht="7.5" customHeight="1" thickBot="1" x14ac:dyDescent="0.35">
      <c r="A1">
        <v>4</v>
      </c>
    </row>
    <row r="2" spans="1:9" ht="24.75" customHeight="1" thickBot="1" x14ac:dyDescent="0.35">
      <c r="A2" s="159" t="s">
        <v>46</v>
      </c>
      <c r="B2" s="160"/>
      <c r="C2" s="160"/>
      <c r="D2" s="160"/>
      <c r="E2" s="161"/>
    </row>
    <row r="4" spans="1:9" x14ac:dyDescent="0.3">
      <c r="A4" s="162" t="s">
        <v>0</v>
      </c>
      <c r="B4" s="162"/>
      <c r="C4" s="162"/>
      <c r="D4" s="162"/>
      <c r="E4" s="162"/>
    </row>
    <row r="5" spans="1:9" x14ac:dyDescent="0.3">
      <c r="A5" s="2"/>
      <c r="B5" s="2"/>
      <c r="C5" s="2"/>
      <c r="D5" s="2"/>
      <c r="E5" s="2"/>
      <c r="I5" t="s">
        <v>143</v>
      </c>
    </row>
    <row r="6" spans="1:9" x14ac:dyDescent="0.3">
      <c r="A6" s="6" t="s">
        <v>1</v>
      </c>
      <c r="B6" s="2"/>
      <c r="C6" s="2"/>
      <c r="D6" s="2"/>
      <c r="E6" s="2"/>
      <c r="I6" s="174">
        <f>'DFP MOI'!E54</f>
        <v>93366.153599999991</v>
      </c>
    </row>
    <row r="7" spans="1:9" ht="39.6" x14ac:dyDescent="0.3">
      <c r="A7" s="24" t="s">
        <v>2</v>
      </c>
      <c r="B7" s="24" t="s">
        <v>3</v>
      </c>
      <c r="C7" s="24" t="s">
        <v>4</v>
      </c>
      <c r="D7" s="24" t="s">
        <v>5</v>
      </c>
      <c r="E7" s="24" t="s">
        <v>6</v>
      </c>
    </row>
    <row r="8" spans="1:9" x14ac:dyDescent="0.3">
      <c r="A8" s="64" t="s">
        <v>82</v>
      </c>
      <c r="B8" s="26">
        <f>8.8*40</f>
        <v>352</v>
      </c>
      <c r="C8" s="27">
        <v>23.701864772727276</v>
      </c>
      <c r="D8" s="28">
        <v>9</v>
      </c>
      <c r="E8" s="42">
        <f t="shared" ref="E8:E12" si="0">C8*B8*D8</f>
        <v>75087.507600000012</v>
      </c>
      <c r="H8" s="175">
        <f>D8/24</f>
        <v>0.375</v>
      </c>
      <c r="I8" s="153">
        <f>H8*$I$6</f>
        <v>35012.3076</v>
      </c>
    </row>
    <row r="9" spans="1:9" x14ac:dyDescent="0.3">
      <c r="A9" s="64" t="s">
        <v>118</v>
      </c>
      <c r="B9" s="26">
        <f t="shared" ref="B9:B12" si="1">8.8*40</f>
        <v>352</v>
      </c>
      <c r="C9" s="27">
        <v>23.701864772727273</v>
      </c>
      <c r="D9" s="164">
        <v>2</v>
      </c>
      <c r="E9" s="42">
        <f t="shared" si="0"/>
        <v>16686.112799999999</v>
      </c>
      <c r="H9" s="175">
        <f t="shared" ref="H9:H12" si="2">D9/24</f>
        <v>8.3333333333333329E-2</v>
      </c>
      <c r="I9" s="153">
        <f>H9*$I$6</f>
        <v>7780.5127999999986</v>
      </c>
    </row>
    <row r="10" spans="1:9" x14ac:dyDescent="0.3">
      <c r="A10" s="64" t="s">
        <v>116</v>
      </c>
      <c r="B10" s="26">
        <f t="shared" si="1"/>
        <v>352</v>
      </c>
      <c r="C10" s="27">
        <v>18.101864772727275</v>
      </c>
      <c r="D10" s="164">
        <v>10</v>
      </c>
      <c r="E10" s="42">
        <f t="shared" si="0"/>
        <v>63718.564000000006</v>
      </c>
      <c r="H10" s="175">
        <f t="shared" si="2"/>
        <v>0.41666666666666669</v>
      </c>
      <c r="I10" s="153">
        <f>H10*$I$6</f>
        <v>38902.563999999998</v>
      </c>
    </row>
    <row r="11" spans="1:9" x14ac:dyDescent="0.3">
      <c r="A11" s="64" t="s">
        <v>81</v>
      </c>
      <c r="B11" s="26">
        <f t="shared" si="1"/>
        <v>352</v>
      </c>
      <c r="C11" s="27">
        <v>32.921864772727275</v>
      </c>
      <c r="D11" s="164">
        <v>2</v>
      </c>
      <c r="E11" s="42">
        <f t="shared" si="0"/>
        <v>23176.9928</v>
      </c>
      <c r="H11" s="175">
        <f t="shared" si="2"/>
        <v>8.3333333333333329E-2</v>
      </c>
      <c r="I11" s="153">
        <f>H11*$I$6</f>
        <v>7780.5127999999986</v>
      </c>
    </row>
    <row r="12" spans="1:9" x14ac:dyDescent="0.3">
      <c r="A12" s="64" t="s">
        <v>80</v>
      </c>
      <c r="B12" s="26">
        <f t="shared" si="1"/>
        <v>352</v>
      </c>
      <c r="C12" s="27">
        <v>24.681864772727273</v>
      </c>
      <c r="D12" s="164">
        <v>1</v>
      </c>
      <c r="E12" s="42">
        <f t="shared" si="0"/>
        <v>8688.0164000000004</v>
      </c>
      <c r="H12" s="175">
        <f t="shared" si="2"/>
        <v>4.1666666666666664E-2</v>
      </c>
      <c r="I12" s="153">
        <f>H12*$I$6</f>
        <v>3890.2563999999993</v>
      </c>
    </row>
    <row r="13" spans="1:9" x14ac:dyDescent="0.3">
      <c r="A13" s="21" t="s">
        <v>7</v>
      </c>
      <c r="B13" s="19"/>
      <c r="C13" s="20"/>
      <c r="D13" s="22"/>
      <c r="E13" s="43">
        <f>SUM(E8:E12)</f>
        <v>187357.19360000003</v>
      </c>
    </row>
    <row r="14" spans="1:9" x14ac:dyDescent="0.3">
      <c r="A14" s="39" t="s">
        <v>8</v>
      </c>
      <c r="B14" s="40"/>
      <c r="C14" s="40"/>
      <c r="D14" s="41"/>
      <c r="E14" s="44">
        <f>E13*30%</f>
        <v>56207.158080000008</v>
      </c>
    </row>
    <row r="15" spans="1:9" x14ac:dyDescent="0.3">
      <c r="A15" s="16"/>
      <c r="B15" s="3"/>
      <c r="C15" s="18"/>
      <c r="D15" s="17"/>
      <c r="E15" s="17"/>
      <c r="H15" s="171"/>
    </row>
    <row r="16" spans="1:9" x14ac:dyDescent="0.3">
      <c r="A16" s="2"/>
      <c r="B16" s="2"/>
      <c r="C16" s="54"/>
      <c r="D16" s="54" t="s">
        <v>9</v>
      </c>
      <c r="E16" s="55">
        <f>E13+E14</f>
        <v>243564.35168000002</v>
      </c>
    </row>
    <row r="17" spans="1:10" x14ac:dyDescent="0.3">
      <c r="A17" s="2"/>
      <c r="B17" s="2"/>
      <c r="C17" s="2"/>
      <c r="D17" s="2"/>
      <c r="E17" s="2"/>
    </row>
    <row r="18" spans="1:10" x14ac:dyDescent="0.3">
      <c r="A18" s="6" t="s">
        <v>10</v>
      </c>
      <c r="B18" s="2"/>
      <c r="C18" s="2"/>
      <c r="D18" s="2"/>
      <c r="H18" s="172"/>
    </row>
    <row r="19" spans="1:10" x14ac:dyDescent="0.3">
      <c r="A19" s="31" t="s">
        <v>11</v>
      </c>
      <c r="B19" s="31" t="s">
        <v>12</v>
      </c>
      <c r="C19" s="31" t="s">
        <v>13</v>
      </c>
      <c r="D19" s="8"/>
    </row>
    <row r="20" spans="1:10" x14ac:dyDescent="0.3">
      <c r="A20" s="48"/>
      <c r="B20" s="48"/>
      <c r="C20" s="48"/>
      <c r="D20" s="1"/>
      <c r="I20" s="173"/>
    </row>
    <row r="21" spans="1:10" x14ac:dyDescent="0.3">
      <c r="A21" s="49" t="s">
        <v>14</v>
      </c>
      <c r="B21" s="50">
        <v>0.85</v>
      </c>
      <c r="C21" s="52">
        <f>E16*B21</f>
        <v>207029.69892800003</v>
      </c>
      <c r="D21" s="9"/>
      <c r="E21" s="2"/>
    </row>
    <row r="22" spans="1:10" x14ac:dyDescent="0.3">
      <c r="A22" s="2"/>
      <c r="B22" s="8"/>
      <c r="C22" s="2"/>
      <c r="D22" s="2"/>
      <c r="E22" s="2"/>
      <c r="H22" s="173"/>
    </row>
    <row r="23" spans="1:10" x14ac:dyDescent="0.3">
      <c r="A23" s="10"/>
      <c r="B23" s="2"/>
      <c r="C23" s="56"/>
      <c r="D23" s="57" t="s">
        <v>15</v>
      </c>
      <c r="E23" s="58">
        <f>E16+C21</f>
        <v>450594.05060800002</v>
      </c>
      <c r="J23" s="173"/>
    </row>
    <row r="24" spans="1:10" x14ac:dyDescent="0.3">
      <c r="A24" s="23" t="s">
        <v>16</v>
      </c>
      <c r="B24" s="2"/>
      <c r="C24" s="2"/>
      <c r="D24" s="2"/>
      <c r="E24" s="2"/>
    </row>
    <row r="25" spans="1:10" ht="26.4" x14ac:dyDescent="0.3">
      <c r="A25" s="24" t="s">
        <v>17</v>
      </c>
      <c r="B25" s="33" t="s">
        <v>18</v>
      </c>
      <c r="C25" s="33" t="s">
        <v>19</v>
      </c>
      <c r="D25" s="51" t="s">
        <v>20</v>
      </c>
      <c r="E25" s="2"/>
    </row>
    <row r="26" spans="1:10" x14ac:dyDescent="0.3">
      <c r="A26" s="98" t="s">
        <v>135</v>
      </c>
      <c r="B26" s="70">
        <v>1</v>
      </c>
      <c r="C26" s="67">
        <f>'BASE MOD'!D24</f>
        <v>64500</v>
      </c>
      <c r="D26" s="72">
        <f>C26*B26</f>
        <v>64500</v>
      </c>
      <c r="E26" s="74"/>
    </row>
    <row r="27" spans="1:10" x14ac:dyDescent="0.3">
      <c r="A27" s="98"/>
      <c r="B27" s="70"/>
      <c r="C27" s="67"/>
      <c r="D27" s="72">
        <f>C27*B27</f>
        <v>0</v>
      </c>
      <c r="E27" s="74"/>
    </row>
    <row r="28" spans="1:10" x14ac:dyDescent="0.3">
      <c r="A28" s="5"/>
      <c r="B28" s="2"/>
      <c r="C28" s="35" t="s">
        <v>21</v>
      </c>
      <c r="D28" s="45">
        <f>SUM(D26:D27)</f>
        <v>64500</v>
      </c>
    </row>
    <row r="29" spans="1:10" x14ac:dyDescent="0.3">
      <c r="A29" s="23" t="s">
        <v>22</v>
      </c>
      <c r="B29" s="2"/>
      <c r="C29" s="2"/>
      <c r="D29" s="2"/>
    </row>
    <row r="30" spans="1:10" ht="26.4" x14ac:dyDescent="0.3">
      <c r="A30" s="31" t="s">
        <v>17</v>
      </c>
      <c r="B30" s="32" t="s">
        <v>18</v>
      </c>
      <c r="C30" s="29" t="s">
        <v>19</v>
      </c>
      <c r="D30" s="51" t="s">
        <v>20</v>
      </c>
    </row>
    <row r="31" spans="1:10" x14ac:dyDescent="0.3">
      <c r="A31" s="65" t="s">
        <v>23</v>
      </c>
      <c r="B31" s="66">
        <v>1</v>
      </c>
      <c r="C31" s="67">
        <f>'BASE MOD'!D33</f>
        <v>12000</v>
      </c>
      <c r="D31" s="68">
        <f>B31*C31</f>
        <v>12000</v>
      </c>
    </row>
    <row r="32" spans="1:10" x14ac:dyDescent="0.3">
      <c r="A32" s="69" t="s">
        <v>78</v>
      </c>
      <c r="B32" s="70">
        <v>1</v>
      </c>
      <c r="C32" s="67">
        <f>'BASE MOD'!Q42</f>
        <v>9535</v>
      </c>
      <c r="D32" s="68">
        <f>B32*C32</f>
        <v>9535</v>
      </c>
    </row>
    <row r="33" spans="1:7" x14ac:dyDescent="0.3">
      <c r="A33" s="117"/>
      <c r="B33" s="2"/>
      <c r="C33" s="35" t="s">
        <v>24</v>
      </c>
      <c r="D33" s="45">
        <f>SUM(D31:D32)</f>
        <v>21535</v>
      </c>
    </row>
    <row r="34" spans="1:7" x14ac:dyDescent="0.3">
      <c r="A34" s="6" t="s">
        <v>25</v>
      </c>
      <c r="B34" s="2"/>
      <c r="C34" s="2"/>
      <c r="D34" s="2"/>
    </row>
    <row r="35" spans="1:7" ht="26.4" x14ac:dyDescent="0.3">
      <c r="A35" s="24" t="s">
        <v>17</v>
      </c>
      <c r="B35" s="24" t="s">
        <v>26</v>
      </c>
      <c r="C35" s="24" t="s">
        <v>27</v>
      </c>
      <c r="D35" s="51" t="s">
        <v>20</v>
      </c>
    </row>
    <row r="36" spans="1:7" x14ac:dyDescent="0.3">
      <c r="A36" s="152" t="s">
        <v>28</v>
      </c>
      <c r="B36" s="76">
        <v>1</v>
      </c>
      <c r="C36" s="67">
        <f>'BASE MOD'!D50</f>
        <v>24000</v>
      </c>
      <c r="D36" s="77">
        <f>B36*C36</f>
        <v>24000</v>
      </c>
      <c r="E36" s="1"/>
      <c r="F36" s="1"/>
      <c r="G36" s="1"/>
    </row>
    <row r="37" spans="1:7" x14ac:dyDescent="0.3">
      <c r="A37" s="152" t="s">
        <v>48</v>
      </c>
      <c r="B37" s="76">
        <v>1</v>
      </c>
      <c r="C37" s="67">
        <f>'BASE MOD'!D58</f>
        <v>15452.963999999996</v>
      </c>
      <c r="D37" s="77">
        <f t="shared" ref="D37:D45" si="3">B37*C37</f>
        <v>15452.963999999996</v>
      </c>
      <c r="E37" s="1"/>
      <c r="F37" s="1"/>
      <c r="G37" s="1"/>
    </row>
    <row r="38" spans="1:7" x14ac:dyDescent="0.3">
      <c r="A38" s="152" t="s">
        <v>49</v>
      </c>
      <c r="B38" s="76">
        <v>24</v>
      </c>
      <c r="C38" s="67">
        <v>55</v>
      </c>
      <c r="D38" s="77">
        <f t="shared" si="3"/>
        <v>1320</v>
      </c>
      <c r="E38" s="1"/>
      <c r="F38" s="1"/>
      <c r="G38" s="1"/>
    </row>
    <row r="39" spans="1:7" x14ac:dyDescent="0.3">
      <c r="A39" s="152" t="s">
        <v>57</v>
      </c>
      <c r="B39" s="76">
        <v>1</v>
      </c>
      <c r="C39" s="67">
        <f>'BASE MOD'!D66</f>
        <v>6982.7999999999975</v>
      </c>
      <c r="D39" s="77">
        <f t="shared" si="3"/>
        <v>6982.7999999999975</v>
      </c>
      <c r="E39" s="1"/>
      <c r="F39" s="1"/>
      <c r="G39" s="1"/>
    </row>
    <row r="40" spans="1:7" x14ac:dyDescent="0.3">
      <c r="A40" s="152" t="s">
        <v>58</v>
      </c>
      <c r="B40" s="76">
        <v>1</v>
      </c>
      <c r="C40" s="67">
        <f>'BASE MOD'!O74</f>
        <v>16854.758000000002</v>
      </c>
      <c r="D40" s="77">
        <f t="shared" si="3"/>
        <v>16854.758000000002</v>
      </c>
      <c r="E40" s="1"/>
      <c r="F40" s="1"/>
      <c r="G40" s="1"/>
    </row>
    <row r="41" spans="1:7" x14ac:dyDescent="0.3">
      <c r="A41" s="152" t="s">
        <v>50</v>
      </c>
      <c r="B41" s="76">
        <f>24*2</f>
        <v>48</v>
      </c>
      <c r="C41" s="67">
        <v>592.92999999999995</v>
      </c>
      <c r="D41" s="77">
        <f t="shared" si="3"/>
        <v>28460.639999999999</v>
      </c>
      <c r="E41" s="1"/>
      <c r="F41" s="1"/>
      <c r="G41" s="1"/>
    </row>
    <row r="42" spans="1:7" x14ac:dyDescent="0.3">
      <c r="A42" s="152" t="s">
        <v>51</v>
      </c>
      <c r="B42" s="76">
        <v>1</v>
      </c>
      <c r="C42" s="67">
        <f>'BASE MOD'!D82</f>
        <v>8640</v>
      </c>
      <c r="D42" s="77">
        <f t="shared" si="3"/>
        <v>8640</v>
      </c>
      <c r="E42" s="1"/>
      <c r="F42" s="1"/>
      <c r="G42" s="1"/>
    </row>
    <row r="43" spans="1:7" x14ac:dyDescent="0.3">
      <c r="A43" s="90" t="s">
        <v>79</v>
      </c>
      <c r="B43" s="76">
        <v>1</v>
      </c>
      <c r="C43" s="67">
        <f>'BASE MOD'!G90</f>
        <v>42607.775999999998</v>
      </c>
      <c r="D43" s="77">
        <f t="shared" si="3"/>
        <v>42607.775999999998</v>
      </c>
      <c r="E43" s="1"/>
      <c r="F43" s="1"/>
      <c r="G43" s="1"/>
    </row>
    <row r="44" spans="1:7" x14ac:dyDescent="0.3">
      <c r="A44" s="90" t="s">
        <v>145</v>
      </c>
      <c r="B44" s="76">
        <v>1</v>
      </c>
      <c r="C44" s="67">
        <f>(24+4)*95</f>
        <v>2660</v>
      </c>
      <c r="D44" s="77">
        <f t="shared" si="3"/>
        <v>2660</v>
      </c>
      <c r="E44" s="1"/>
      <c r="F44" s="1"/>
      <c r="G44" s="1"/>
    </row>
    <row r="45" spans="1:7" x14ac:dyDescent="0.3">
      <c r="A45" s="90"/>
      <c r="B45" s="76"/>
      <c r="C45" s="67">
        <v>0</v>
      </c>
      <c r="D45" s="77">
        <f t="shared" si="3"/>
        <v>0</v>
      </c>
      <c r="E45" s="1"/>
      <c r="F45" s="1"/>
      <c r="G45" s="1"/>
    </row>
    <row r="46" spans="1:7" x14ac:dyDescent="0.3">
      <c r="A46" s="1"/>
      <c r="B46" s="36" t="s">
        <v>29</v>
      </c>
      <c r="C46" s="37"/>
      <c r="D46" s="45">
        <f>SUM(D36:D45)</f>
        <v>146978.93799999997</v>
      </c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60" t="s">
        <v>30</v>
      </c>
      <c r="C48" s="61"/>
      <c r="D48" s="62"/>
      <c r="E48" s="63">
        <f>E23+D28+D33+D46</f>
        <v>683607.98860799999</v>
      </c>
      <c r="F48" s="1"/>
      <c r="G48" s="1"/>
    </row>
    <row r="49" spans="1:7" x14ac:dyDescent="0.3">
      <c r="A49" s="120" t="s">
        <v>31</v>
      </c>
      <c r="B49" s="121"/>
      <c r="C49" s="121"/>
      <c r="D49" s="121"/>
      <c r="E49" s="139"/>
      <c r="F49" s="1"/>
      <c r="G49" s="1"/>
    </row>
    <row r="50" spans="1:7" x14ac:dyDescent="0.3">
      <c r="A50" s="2"/>
      <c r="B50" s="2"/>
      <c r="C50" s="2"/>
      <c r="D50" s="2"/>
      <c r="E50" s="2"/>
      <c r="F50" s="2"/>
      <c r="G50" s="2"/>
    </row>
    <row r="51" spans="1:7" ht="39.6" x14ac:dyDescent="0.3">
      <c r="A51" s="33" t="s">
        <v>17</v>
      </c>
      <c r="B51" s="33" t="s">
        <v>32</v>
      </c>
      <c r="C51" s="33" t="s">
        <v>33</v>
      </c>
      <c r="D51" s="51" t="s">
        <v>20</v>
      </c>
      <c r="E51" s="2"/>
      <c r="F51" s="2"/>
      <c r="G51" s="2"/>
    </row>
    <row r="52" spans="1:7" x14ac:dyDescent="0.3">
      <c r="A52" s="75" t="s">
        <v>53</v>
      </c>
      <c r="B52" s="78">
        <v>0.08</v>
      </c>
      <c r="C52" s="79">
        <f>B52*E48</f>
        <v>54688.639088639997</v>
      </c>
      <c r="D52" s="79">
        <f>C52</f>
        <v>54688.639088639997</v>
      </c>
      <c r="E52" s="74"/>
      <c r="F52" s="74"/>
      <c r="G52" s="74"/>
    </row>
    <row r="53" spans="1:7" x14ac:dyDescent="0.3">
      <c r="A53" s="75" t="s">
        <v>54</v>
      </c>
      <c r="B53" s="80">
        <v>0.01</v>
      </c>
      <c r="C53" s="81">
        <f>B53*E48</f>
        <v>6836.0798860799996</v>
      </c>
      <c r="D53" s="81">
        <f>C53</f>
        <v>6836.0798860799996</v>
      </c>
      <c r="E53" s="74"/>
      <c r="F53" s="74"/>
      <c r="G53" s="74"/>
    </row>
    <row r="54" spans="1:7" x14ac:dyDescent="0.3">
      <c r="A54" s="82" t="s">
        <v>55</v>
      </c>
      <c r="B54" s="83">
        <v>0.08</v>
      </c>
      <c r="C54" s="84">
        <f>B54*E48</f>
        <v>54688.639088639997</v>
      </c>
      <c r="D54" s="81">
        <f>C54</f>
        <v>54688.639088639997</v>
      </c>
      <c r="E54" s="74"/>
      <c r="F54" s="74"/>
      <c r="G54" s="74"/>
    </row>
    <row r="55" spans="1:7" x14ac:dyDescent="0.3">
      <c r="A55" s="85"/>
      <c r="B55" s="86"/>
      <c r="C55" s="87">
        <v>0</v>
      </c>
      <c r="D55" s="87">
        <v>0</v>
      </c>
      <c r="E55" s="74"/>
      <c r="F55" s="74"/>
      <c r="G55" s="74"/>
    </row>
    <row r="56" spans="1:7" x14ac:dyDescent="0.3">
      <c r="A56" s="12"/>
      <c r="B56" s="12"/>
      <c r="C56" s="38" t="s">
        <v>34</v>
      </c>
      <c r="D56" s="45">
        <f>SUM(D52:D55)</f>
        <v>116213.35806335999</v>
      </c>
      <c r="E56" s="2"/>
      <c r="F56" s="2"/>
      <c r="G56" s="2"/>
    </row>
    <row r="57" spans="1:7" x14ac:dyDescent="0.3">
      <c r="A57" s="2"/>
      <c r="B57" s="2"/>
      <c r="C57" s="2"/>
      <c r="D57" s="2"/>
      <c r="E57" s="2"/>
      <c r="F57" s="2"/>
      <c r="G57" s="2"/>
    </row>
    <row r="58" spans="1:7" x14ac:dyDescent="0.3">
      <c r="A58" s="120" t="s">
        <v>35</v>
      </c>
      <c r="B58" s="139"/>
      <c r="C58" s="139"/>
      <c r="D58" s="139"/>
      <c r="E58" s="139"/>
      <c r="F58" s="2"/>
      <c r="G58" s="7"/>
    </row>
    <row r="59" spans="1:7" x14ac:dyDescent="0.3">
      <c r="A59" s="2"/>
      <c r="B59" s="2"/>
      <c r="C59" s="2"/>
      <c r="D59" s="2"/>
      <c r="E59" s="2"/>
      <c r="F59" s="2"/>
      <c r="G59" s="2"/>
    </row>
    <row r="60" spans="1:7" ht="26.4" x14ac:dyDescent="0.3">
      <c r="A60" s="33" t="s">
        <v>17</v>
      </c>
      <c r="B60" s="33" t="s">
        <v>36</v>
      </c>
      <c r="C60" s="33" t="s">
        <v>33</v>
      </c>
      <c r="D60" s="51" t="s">
        <v>20</v>
      </c>
      <c r="E60" s="2"/>
      <c r="F60" s="2"/>
      <c r="G60" s="2"/>
    </row>
    <row r="61" spans="1:7" x14ac:dyDescent="0.3">
      <c r="A61" s="91" t="s">
        <v>56</v>
      </c>
      <c r="B61" s="78">
        <v>7.6799999999999993E-2</v>
      </c>
      <c r="C61" s="79">
        <f>B61*E48</f>
        <v>52501.093525094395</v>
      </c>
      <c r="D61" s="79">
        <f>C61</f>
        <v>52501.093525094395</v>
      </c>
      <c r="E61" s="2"/>
      <c r="F61" s="2"/>
      <c r="G61" s="2"/>
    </row>
    <row r="62" spans="1:7" x14ac:dyDescent="0.3">
      <c r="A62" s="11"/>
      <c r="B62" s="30"/>
      <c r="C62" s="46">
        <v>0</v>
      </c>
      <c r="D62" s="46">
        <v>0</v>
      </c>
      <c r="E62" s="2"/>
      <c r="F62" s="2"/>
      <c r="G62" s="2"/>
    </row>
    <row r="63" spans="1:7" x14ac:dyDescent="0.3">
      <c r="A63" s="53"/>
      <c r="B63" s="34"/>
      <c r="C63" s="47">
        <v>0</v>
      </c>
      <c r="D63" s="47">
        <v>0</v>
      </c>
      <c r="E63" s="2"/>
      <c r="F63" s="2"/>
      <c r="G63" s="2"/>
    </row>
    <row r="64" spans="1:7" x14ac:dyDescent="0.3">
      <c r="A64" s="12"/>
      <c r="B64" s="36" t="s">
        <v>37</v>
      </c>
      <c r="C64" s="37"/>
      <c r="D64" s="45">
        <f>SUM(D61:D63)</f>
        <v>52501.093525094395</v>
      </c>
      <c r="E64" s="2"/>
      <c r="F64" s="2"/>
      <c r="G64" s="2"/>
    </row>
    <row r="65" spans="1:8" x14ac:dyDescent="0.3">
      <c r="A65" s="2"/>
      <c r="B65" s="2"/>
      <c r="C65" s="2"/>
      <c r="D65" s="2"/>
      <c r="E65" s="2"/>
      <c r="F65" s="2"/>
      <c r="G65" s="2"/>
    </row>
    <row r="66" spans="1:8" x14ac:dyDescent="0.3">
      <c r="A66" s="120" t="s">
        <v>38</v>
      </c>
      <c r="B66" s="121"/>
      <c r="C66" s="121"/>
      <c r="D66" s="121"/>
      <c r="E66" s="121"/>
      <c r="F66" s="7"/>
      <c r="G66" s="7"/>
    </row>
    <row r="67" spans="1:8" x14ac:dyDescent="0.3">
      <c r="A67" s="2"/>
      <c r="B67" s="2"/>
      <c r="C67" s="2"/>
      <c r="D67" s="2"/>
      <c r="E67" s="2"/>
      <c r="F67" s="2"/>
      <c r="G67" s="2"/>
    </row>
    <row r="68" spans="1:8" x14ac:dyDescent="0.3">
      <c r="A68" s="128" t="s">
        <v>39</v>
      </c>
      <c r="B68" s="129"/>
      <c r="C68" s="129"/>
      <c r="D68" s="127"/>
      <c r="E68" s="126">
        <f>E48+D56+D64</f>
        <v>852322.44019645441</v>
      </c>
      <c r="F68" s="2"/>
      <c r="G68" s="2"/>
    </row>
    <row r="69" spans="1:8" x14ac:dyDescent="0.3">
      <c r="A69" s="2"/>
      <c r="B69" s="2"/>
      <c r="C69" s="2"/>
      <c r="D69" s="2"/>
      <c r="E69" s="2"/>
      <c r="F69" s="2"/>
      <c r="G69" s="2"/>
    </row>
    <row r="70" spans="1:8" x14ac:dyDescent="0.3">
      <c r="A70" s="120" t="s">
        <v>40</v>
      </c>
      <c r="B70" s="121"/>
      <c r="C70" s="121"/>
      <c r="D70" s="121"/>
      <c r="E70" s="125"/>
      <c r="F70" s="7"/>
      <c r="G70" s="7"/>
    </row>
    <row r="71" spans="1:8" x14ac:dyDescent="0.3">
      <c r="A71" s="2"/>
      <c r="B71" s="2"/>
      <c r="C71" s="2"/>
      <c r="D71" s="2"/>
      <c r="E71" s="2"/>
      <c r="F71" s="2"/>
      <c r="G71" s="2"/>
    </row>
    <row r="72" spans="1:8" x14ac:dyDescent="0.3">
      <c r="A72" s="33" t="s">
        <v>17</v>
      </c>
      <c r="B72" s="33" t="s">
        <v>36</v>
      </c>
      <c r="C72" s="2"/>
      <c r="D72" s="2"/>
      <c r="E72" s="2"/>
      <c r="F72" s="2"/>
      <c r="G72" s="2"/>
    </row>
    <row r="73" spans="1:8" x14ac:dyDescent="0.3">
      <c r="A73" s="14" t="s">
        <v>41</v>
      </c>
      <c r="B73" s="78">
        <v>0.05</v>
      </c>
      <c r="C73" s="2"/>
      <c r="D73" s="2"/>
      <c r="E73" s="2"/>
      <c r="F73" s="2"/>
      <c r="G73" s="2"/>
    </row>
    <row r="74" spans="1:8" x14ac:dyDescent="0.3">
      <c r="A74" s="15" t="s">
        <v>42</v>
      </c>
      <c r="B74" s="80">
        <v>6.4999999999999997E-3</v>
      </c>
      <c r="C74" s="2"/>
      <c r="D74" s="2"/>
      <c r="E74" s="2"/>
      <c r="F74" s="2"/>
      <c r="G74" s="2"/>
    </row>
    <row r="75" spans="1:8" x14ac:dyDescent="0.3">
      <c r="A75" s="4" t="s">
        <v>43</v>
      </c>
      <c r="B75" s="88">
        <v>0.03</v>
      </c>
      <c r="C75" s="2"/>
      <c r="D75" s="2"/>
      <c r="E75" s="2"/>
      <c r="F75" s="2"/>
      <c r="G75" s="2"/>
    </row>
    <row r="76" spans="1:8" x14ac:dyDescent="0.3">
      <c r="A76" s="2"/>
      <c r="B76" s="13"/>
      <c r="C76" s="2"/>
      <c r="D76" s="2"/>
      <c r="E76" s="2"/>
      <c r="F76" s="2"/>
      <c r="G76" s="2"/>
    </row>
    <row r="77" spans="1:8" ht="27.75" customHeight="1" x14ac:dyDescent="0.3">
      <c r="A77" s="123" t="s">
        <v>44</v>
      </c>
      <c r="B77" s="124">
        <f>SUM(B73:B75)</f>
        <v>8.6499999999999994E-2</v>
      </c>
      <c r="C77" s="2"/>
      <c r="D77" s="2"/>
      <c r="E77" s="2"/>
      <c r="F77" s="2"/>
      <c r="G77" s="2"/>
    </row>
    <row r="78" spans="1:8" x14ac:dyDescent="0.3">
      <c r="A78" s="2"/>
      <c r="B78" s="2"/>
      <c r="C78" s="2"/>
      <c r="D78" s="2"/>
      <c r="E78" s="2"/>
      <c r="F78" s="2"/>
      <c r="G78" s="2"/>
    </row>
    <row r="79" spans="1:8" x14ac:dyDescent="0.3">
      <c r="A79" s="120" t="s">
        <v>45</v>
      </c>
      <c r="B79" s="121"/>
      <c r="C79" s="121"/>
      <c r="D79" s="121"/>
      <c r="E79" s="122">
        <f>E68*1.0865</f>
        <v>926048.33127344772</v>
      </c>
      <c r="F79" s="7"/>
      <c r="G79" s="7"/>
      <c r="H79" s="116"/>
    </row>
    <row r="80" spans="1:8" x14ac:dyDescent="0.3">
      <c r="A80" s="92"/>
      <c r="B80" s="93"/>
      <c r="C80" s="93"/>
      <c r="D80" s="93"/>
      <c r="E80" s="102"/>
      <c r="F80" s="7"/>
      <c r="G80" s="7"/>
    </row>
    <row r="81" spans="1:6" x14ac:dyDescent="0.3">
      <c r="A81" s="120" t="s">
        <v>62</v>
      </c>
      <c r="B81" s="121"/>
      <c r="C81" s="121"/>
      <c r="D81" s="121"/>
      <c r="E81" s="121"/>
    </row>
    <row r="82" spans="1:6" x14ac:dyDescent="0.3">
      <c r="A82" s="92"/>
      <c r="B82" s="93"/>
      <c r="C82" s="93"/>
      <c r="D82" s="93"/>
      <c r="E82" s="93"/>
      <c r="F82" s="94"/>
    </row>
    <row r="83" spans="1:6" ht="26.4" x14ac:dyDescent="0.3">
      <c r="A83" s="33" t="s">
        <v>17</v>
      </c>
      <c r="B83" s="33" t="s">
        <v>26</v>
      </c>
      <c r="C83" s="33" t="s">
        <v>27</v>
      </c>
      <c r="D83" s="51" t="s">
        <v>20</v>
      </c>
      <c r="E83" s="95"/>
    </row>
    <row r="84" spans="1:6" ht="15.6" x14ac:dyDescent="0.3">
      <c r="A84" s="96" t="s">
        <v>63</v>
      </c>
      <c r="B84" s="76" t="s">
        <v>52</v>
      </c>
      <c r="C84" s="67"/>
      <c r="D84" s="81">
        <f>C84</f>
        <v>0</v>
      </c>
      <c r="E84" s="95"/>
    </row>
    <row r="85" spans="1:6" ht="15.6" x14ac:dyDescent="0.3">
      <c r="A85" s="90"/>
      <c r="B85" s="76"/>
      <c r="C85" s="67"/>
      <c r="D85" s="77">
        <f>C85</f>
        <v>0</v>
      </c>
      <c r="E85" s="95"/>
    </row>
    <row r="86" spans="1:6" ht="15.6" x14ac:dyDescent="0.3">
      <c r="A86" s="90"/>
      <c r="B86" s="76"/>
      <c r="C86" s="67"/>
      <c r="D86" s="77"/>
      <c r="E86" s="95"/>
    </row>
    <row r="87" spans="1:6" x14ac:dyDescent="0.3">
      <c r="B87" s="74"/>
      <c r="C87" s="74"/>
      <c r="D87" s="97">
        <f>SUM(D84:D86)</f>
        <v>0</v>
      </c>
      <c r="E87" s="74"/>
    </row>
    <row r="88" spans="1:6" x14ac:dyDescent="0.3">
      <c r="A88" s="120" t="s">
        <v>64</v>
      </c>
      <c r="B88" s="121"/>
      <c r="C88" s="121"/>
      <c r="D88" s="121"/>
      <c r="E88" s="121"/>
    </row>
    <row r="89" spans="1:6" x14ac:dyDescent="0.3">
      <c r="A89" s="74"/>
      <c r="B89" s="74"/>
      <c r="C89" s="74"/>
      <c r="D89" s="74"/>
      <c r="E89" s="74"/>
    </row>
    <row r="90" spans="1:6" ht="39.6" x14ac:dyDescent="0.3">
      <c r="A90" s="33" t="s">
        <v>17</v>
      </c>
      <c r="B90" s="33" t="s">
        <v>32</v>
      </c>
      <c r="C90" s="33" t="s">
        <v>33</v>
      </c>
      <c r="D90" s="51" t="s">
        <v>20</v>
      </c>
      <c r="E90" s="74"/>
    </row>
    <row r="91" spans="1:6" x14ac:dyDescent="0.3">
      <c r="A91" s="75" t="s">
        <v>53</v>
      </c>
      <c r="B91" s="78">
        <v>0.08</v>
      </c>
      <c r="C91" s="79">
        <f>B91*D87</f>
        <v>0</v>
      </c>
      <c r="D91" s="79">
        <f>C91</f>
        <v>0</v>
      </c>
      <c r="E91" s="74"/>
    </row>
    <row r="92" spans="1:6" x14ac:dyDescent="0.3">
      <c r="A92" s="75" t="s">
        <v>54</v>
      </c>
      <c r="B92" s="80">
        <v>0.01</v>
      </c>
      <c r="C92" s="81">
        <f>B92*D87</f>
        <v>0</v>
      </c>
      <c r="D92" s="81">
        <f>C92</f>
        <v>0</v>
      </c>
      <c r="E92" s="74"/>
    </row>
    <row r="93" spans="1:6" x14ac:dyDescent="0.3">
      <c r="A93" s="85"/>
      <c r="B93" s="86"/>
      <c r="C93" s="87">
        <v>0</v>
      </c>
      <c r="D93" s="87">
        <v>0</v>
      </c>
      <c r="E93" s="74"/>
    </row>
    <row r="94" spans="1:6" x14ac:dyDescent="0.3">
      <c r="A94" s="12"/>
      <c r="B94" s="12"/>
      <c r="C94" s="38" t="s">
        <v>34</v>
      </c>
      <c r="D94" s="45">
        <f>SUM(D91:D93)</f>
        <v>0</v>
      </c>
      <c r="E94" s="74"/>
    </row>
    <row r="95" spans="1:6" x14ac:dyDescent="0.3">
      <c r="A95" s="74"/>
      <c r="B95" s="74"/>
      <c r="C95" s="74"/>
      <c r="D95" s="74"/>
      <c r="E95" s="74"/>
    </row>
    <row r="96" spans="1:6" x14ac:dyDescent="0.3">
      <c r="A96" s="120" t="s">
        <v>65</v>
      </c>
      <c r="B96" s="121"/>
      <c r="C96" s="121"/>
      <c r="D96" s="121"/>
      <c r="E96" s="121"/>
    </row>
    <row r="97" spans="1:5" x14ac:dyDescent="0.3">
      <c r="A97" s="74"/>
      <c r="B97" s="74"/>
      <c r="C97" s="74"/>
      <c r="D97" s="74"/>
      <c r="E97" s="74"/>
    </row>
    <row r="98" spans="1:5" ht="26.4" x14ac:dyDescent="0.3">
      <c r="A98" s="33" t="s">
        <v>17</v>
      </c>
      <c r="B98" s="33" t="s">
        <v>36</v>
      </c>
      <c r="C98" s="33" t="s">
        <v>33</v>
      </c>
      <c r="D98" s="51" t="s">
        <v>20</v>
      </c>
      <c r="E98" s="74"/>
    </row>
    <row r="99" spans="1:5" x14ac:dyDescent="0.3">
      <c r="A99" s="91" t="s">
        <v>56</v>
      </c>
      <c r="B99" s="78">
        <v>7.6799999999999993E-2</v>
      </c>
      <c r="C99" s="79">
        <f>B99*(D87+D94)</f>
        <v>0</v>
      </c>
      <c r="D99" s="79">
        <f>C99</f>
        <v>0</v>
      </c>
      <c r="E99" s="74"/>
    </row>
    <row r="100" spans="1:5" x14ac:dyDescent="0.3">
      <c r="A100" s="75"/>
      <c r="B100" s="80"/>
      <c r="C100" s="81">
        <v>0</v>
      </c>
      <c r="D100" s="81">
        <v>0</v>
      </c>
      <c r="E100" s="74"/>
    </row>
    <row r="101" spans="1:5" x14ac:dyDescent="0.3">
      <c r="A101" s="103"/>
      <c r="B101" s="88"/>
      <c r="C101" s="104">
        <v>0</v>
      </c>
      <c r="D101" s="104">
        <v>0</v>
      </c>
      <c r="E101" s="74"/>
    </row>
    <row r="102" spans="1:5" x14ac:dyDescent="0.3">
      <c r="A102" s="12"/>
      <c r="B102" s="36" t="s">
        <v>37</v>
      </c>
      <c r="C102" s="105"/>
      <c r="D102" s="45">
        <f>SUM(D99:D101)</f>
        <v>0</v>
      </c>
      <c r="E102" s="74"/>
    </row>
    <row r="103" spans="1:5" x14ac:dyDescent="0.3">
      <c r="A103" s="74"/>
      <c r="B103" s="74"/>
      <c r="C103" s="74"/>
      <c r="D103" s="74"/>
      <c r="E103" s="74"/>
    </row>
    <row r="104" spans="1:5" x14ac:dyDescent="0.3">
      <c r="A104" s="120" t="s">
        <v>66</v>
      </c>
      <c r="B104" s="121"/>
      <c r="C104" s="121"/>
      <c r="D104" s="121"/>
      <c r="E104" s="125"/>
    </row>
    <row r="105" spans="1:5" x14ac:dyDescent="0.3">
      <c r="A105" s="74"/>
      <c r="B105" s="74"/>
      <c r="C105" s="74"/>
      <c r="D105" s="74"/>
      <c r="E105" s="74"/>
    </row>
    <row r="106" spans="1:5" x14ac:dyDescent="0.3">
      <c r="A106" s="33" t="s">
        <v>17</v>
      </c>
      <c r="B106" s="33" t="s">
        <v>36</v>
      </c>
      <c r="C106" s="74"/>
      <c r="D106" s="74"/>
      <c r="E106" s="74"/>
    </row>
    <row r="107" spans="1:5" x14ac:dyDescent="0.3">
      <c r="A107" s="98" t="s">
        <v>41</v>
      </c>
      <c r="B107" s="78">
        <v>0.05</v>
      </c>
      <c r="C107" s="74"/>
      <c r="D107" s="74"/>
      <c r="E107" s="74"/>
    </row>
    <row r="108" spans="1:5" x14ac:dyDescent="0.3">
      <c r="A108" s="71" t="s">
        <v>42</v>
      </c>
      <c r="B108" s="80">
        <v>6.4999999999999997E-3</v>
      </c>
      <c r="C108" s="74"/>
      <c r="D108" s="74"/>
      <c r="E108" s="99"/>
    </row>
    <row r="109" spans="1:5" x14ac:dyDescent="0.3">
      <c r="A109" s="106" t="s">
        <v>43</v>
      </c>
      <c r="B109" s="88">
        <v>0.03</v>
      </c>
      <c r="C109" s="74"/>
      <c r="D109" s="74"/>
      <c r="E109" s="74"/>
    </row>
    <row r="110" spans="1:5" x14ac:dyDescent="0.3">
      <c r="A110" s="74"/>
      <c r="B110" s="100"/>
      <c r="C110" s="74"/>
      <c r="D110" s="74"/>
      <c r="E110" s="74"/>
    </row>
    <row r="111" spans="1:5" ht="27.75" customHeight="1" x14ac:dyDescent="0.3">
      <c r="A111" s="123" t="s">
        <v>44</v>
      </c>
      <c r="B111" s="124">
        <f>SUM(B107:B109)</f>
        <v>8.6499999999999994E-2</v>
      </c>
      <c r="C111" s="74"/>
      <c r="D111" s="74"/>
      <c r="E111" s="101"/>
    </row>
    <row r="112" spans="1:5" x14ac:dyDescent="0.3">
      <c r="A112" s="74"/>
      <c r="B112" s="74"/>
      <c r="C112" s="74"/>
      <c r="D112" s="74"/>
      <c r="E112" s="74"/>
    </row>
    <row r="113" spans="1:6" x14ac:dyDescent="0.3">
      <c r="A113" s="120" t="s">
        <v>67</v>
      </c>
      <c r="B113" s="121"/>
      <c r="C113" s="121"/>
      <c r="D113" s="121"/>
      <c r="E113" s="122">
        <f>(D87+D94+D102)*1.0865</f>
        <v>0</v>
      </c>
    </row>
    <row r="114" spans="1:6" x14ac:dyDescent="0.3">
      <c r="A114" s="59"/>
      <c r="B114" s="74"/>
      <c r="C114" s="74"/>
      <c r="D114" s="74"/>
      <c r="E114" s="74"/>
    </row>
    <row r="115" spans="1:6" x14ac:dyDescent="0.3">
      <c r="A115" s="120" t="s">
        <v>68</v>
      </c>
      <c r="B115" s="121"/>
      <c r="C115" s="121"/>
      <c r="D115" s="121"/>
      <c r="E115" s="121"/>
    </row>
    <row r="116" spans="1:6" x14ac:dyDescent="0.3">
      <c r="A116" s="92"/>
      <c r="B116" s="93"/>
      <c r="C116" s="93"/>
      <c r="D116" s="93"/>
      <c r="E116" s="93"/>
      <c r="F116" s="94"/>
    </row>
    <row r="117" spans="1:6" ht="26.4" x14ac:dyDescent="0.3">
      <c r="A117" s="33" t="s">
        <v>17</v>
      </c>
      <c r="B117" s="33" t="s">
        <v>26</v>
      </c>
      <c r="C117" s="33" t="s">
        <v>27</v>
      </c>
      <c r="D117" s="51" t="s">
        <v>20</v>
      </c>
      <c r="E117" s="95"/>
    </row>
    <row r="118" spans="1:6" ht="15.6" x14ac:dyDescent="0.3">
      <c r="A118" s="90" t="s">
        <v>59</v>
      </c>
      <c r="B118" s="76" t="s">
        <v>52</v>
      </c>
      <c r="C118" s="67">
        <f>'BASE MOD'!D100</f>
        <v>48125.22</v>
      </c>
      <c r="D118" s="81">
        <f>C118</f>
        <v>48125.22</v>
      </c>
      <c r="E118" s="95"/>
    </row>
    <row r="119" spans="1:6" ht="15.6" x14ac:dyDescent="0.3">
      <c r="A119" s="90"/>
      <c r="B119" s="76"/>
      <c r="C119" s="67"/>
      <c r="D119" s="77"/>
      <c r="E119" s="95"/>
    </row>
    <row r="120" spans="1:6" ht="15.6" x14ac:dyDescent="0.3">
      <c r="A120" s="90"/>
      <c r="B120" s="76"/>
      <c r="C120" s="67"/>
      <c r="D120" s="77"/>
      <c r="E120" s="95"/>
    </row>
    <row r="121" spans="1:6" x14ac:dyDescent="0.3">
      <c r="B121" s="74"/>
      <c r="C121" s="74"/>
      <c r="D121" s="97">
        <f>SUM(D118:D120)</f>
        <v>48125.22</v>
      </c>
      <c r="E121" s="74"/>
    </row>
    <row r="122" spans="1:6" x14ac:dyDescent="0.3">
      <c r="A122" s="74"/>
      <c r="B122" s="74"/>
      <c r="C122" s="74"/>
      <c r="D122" s="74"/>
      <c r="E122" s="74"/>
    </row>
    <row r="123" spans="1:6" x14ac:dyDescent="0.3">
      <c r="A123" s="120" t="s">
        <v>69</v>
      </c>
      <c r="B123" s="121"/>
      <c r="C123" s="121"/>
      <c r="D123" s="121"/>
      <c r="E123" s="121"/>
    </row>
    <row r="124" spans="1:6" x14ac:dyDescent="0.3">
      <c r="A124" s="74"/>
      <c r="B124" s="74"/>
      <c r="C124" s="74"/>
      <c r="D124" s="74"/>
      <c r="E124" s="74"/>
    </row>
    <row r="125" spans="1:6" ht="26.4" x14ac:dyDescent="0.3">
      <c r="A125" s="33" t="s">
        <v>17</v>
      </c>
      <c r="B125" s="33" t="s">
        <v>36</v>
      </c>
      <c r="C125" s="33" t="s">
        <v>33</v>
      </c>
      <c r="D125" s="51" t="s">
        <v>20</v>
      </c>
      <c r="E125" s="74"/>
    </row>
    <row r="126" spans="1:6" x14ac:dyDescent="0.3">
      <c r="A126" s="91" t="s">
        <v>56</v>
      </c>
      <c r="B126" s="78">
        <v>7.6799999999999993E-2</v>
      </c>
      <c r="C126" s="79">
        <f>B126*D121</f>
        <v>3696.0168959999996</v>
      </c>
      <c r="D126" s="79">
        <f>C126</f>
        <v>3696.0168959999996</v>
      </c>
      <c r="E126" s="74"/>
    </row>
    <row r="127" spans="1:6" x14ac:dyDescent="0.3">
      <c r="A127" s="75"/>
      <c r="B127" s="80"/>
      <c r="C127" s="81">
        <v>0</v>
      </c>
      <c r="D127" s="81">
        <v>0</v>
      </c>
      <c r="E127" s="74"/>
    </row>
    <row r="128" spans="1:6" x14ac:dyDescent="0.3">
      <c r="A128" s="103"/>
      <c r="B128" s="88"/>
      <c r="C128" s="104">
        <v>0</v>
      </c>
      <c r="D128" s="104">
        <v>0</v>
      </c>
      <c r="E128" s="74"/>
    </row>
    <row r="129" spans="1:8" x14ac:dyDescent="0.3">
      <c r="A129" s="12"/>
      <c r="B129" s="36" t="s">
        <v>37</v>
      </c>
      <c r="C129" s="105"/>
      <c r="D129" s="45">
        <f>SUM(D126:D128)</f>
        <v>3696.0168959999996</v>
      </c>
      <c r="E129" s="74"/>
    </row>
    <row r="130" spans="1:8" x14ac:dyDescent="0.3">
      <c r="A130" s="74"/>
      <c r="B130" s="74"/>
      <c r="C130" s="74"/>
      <c r="D130" s="74"/>
      <c r="E130" s="74"/>
    </row>
    <row r="131" spans="1:8" x14ac:dyDescent="0.3">
      <c r="A131" s="120" t="s">
        <v>70</v>
      </c>
      <c r="B131" s="121"/>
      <c r="C131" s="121"/>
      <c r="D131" s="121"/>
      <c r="E131" s="125"/>
    </row>
    <row r="132" spans="1:8" x14ac:dyDescent="0.3">
      <c r="A132" s="74"/>
      <c r="B132" s="74"/>
      <c r="C132" s="74"/>
      <c r="D132" s="74"/>
      <c r="E132" s="74"/>
    </row>
    <row r="133" spans="1:8" x14ac:dyDescent="0.3">
      <c r="A133" s="33" t="s">
        <v>17</v>
      </c>
      <c r="B133" s="33" t="s">
        <v>36</v>
      </c>
      <c r="C133" s="74"/>
      <c r="D133" s="74"/>
      <c r="E133" s="74"/>
    </row>
    <row r="134" spans="1:8" x14ac:dyDescent="0.3">
      <c r="A134" s="98" t="s">
        <v>41</v>
      </c>
      <c r="B134" s="78">
        <v>0.05</v>
      </c>
      <c r="C134" s="74"/>
      <c r="D134" s="74"/>
      <c r="E134" s="74"/>
    </row>
    <row r="135" spans="1:8" x14ac:dyDescent="0.3">
      <c r="A135" s="71" t="s">
        <v>42</v>
      </c>
      <c r="B135" s="80">
        <v>6.4999999999999997E-3</v>
      </c>
      <c r="C135" s="74"/>
      <c r="D135" s="74"/>
      <c r="E135" s="99"/>
    </row>
    <row r="136" spans="1:8" x14ac:dyDescent="0.3">
      <c r="A136" s="106" t="s">
        <v>43</v>
      </c>
      <c r="B136" s="88">
        <v>0.03</v>
      </c>
      <c r="C136" s="74"/>
      <c r="D136" s="74"/>
      <c r="E136" s="74"/>
    </row>
    <row r="137" spans="1:8" x14ac:dyDescent="0.3">
      <c r="A137" s="74"/>
      <c r="B137" s="100"/>
      <c r="C137" s="74"/>
      <c r="D137" s="74"/>
      <c r="E137" s="74"/>
    </row>
    <row r="138" spans="1:8" ht="27.75" customHeight="1" x14ac:dyDescent="0.3">
      <c r="A138" s="123" t="s">
        <v>44</v>
      </c>
      <c r="B138" s="124">
        <f>SUM(B134:B136)</f>
        <v>8.6499999999999994E-2</v>
      </c>
      <c r="C138" s="74"/>
      <c r="D138" s="74"/>
      <c r="E138" s="101"/>
    </row>
    <row r="139" spans="1:8" x14ac:dyDescent="0.3">
      <c r="A139" s="74"/>
      <c r="B139" s="74"/>
      <c r="C139" s="74"/>
      <c r="D139" s="74"/>
      <c r="E139" s="74"/>
    </row>
    <row r="140" spans="1:8" x14ac:dyDescent="0.3">
      <c r="A140" s="120" t="s">
        <v>71</v>
      </c>
      <c r="B140" s="121"/>
      <c r="C140" s="121"/>
      <c r="D140" s="121"/>
      <c r="E140" s="122">
        <f>(D121+D129)*1.0865</f>
        <v>56303.773887504001</v>
      </c>
    </row>
    <row r="141" spans="1:8" x14ac:dyDescent="0.3">
      <c r="A141" s="59"/>
      <c r="B141" s="74"/>
      <c r="C141" s="74"/>
      <c r="D141" s="74"/>
      <c r="E141" s="74"/>
    </row>
    <row r="142" spans="1:8" x14ac:dyDescent="0.3">
      <c r="A142" s="128" t="s">
        <v>47</v>
      </c>
      <c r="B142" s="130"/>
      <c r="C142" s="130"/>
      <c r="D142" s="131"/>
      <c r="E142" s="132">
        <f>E140+E113+E79</f>
        <v>982352.10516095173</v>
      </c>
    </row>
    <row r="143" spans="1:8" x14ac:dyDescent="0.3">
      <c r="A143" s="3"/>
      <c r="B143" s="2"/>
      <c r="C143" s="2"/>
      <c r="D143" s="2"/>
      <c r="E143" s="2"/>
      <c r="F143" s="2"/>
      <c r="G143" s="2"/>
      <c r="H143" s="172"/>
    </row>
    <row r="144" spans="1:8" ht="57.6" customHeight="1" x14ac:dyDescent="0.3">
      <c r="A144" s="3"/>
      <c r="B144" s="2"/>
      <c r="C144" s="2"/>
      <c r="D144" s="2"/>
      <c r="E144" s="2"/>
      <c r="F144" s="2"/>
      <c r="G144" s="2"/>
    </row>
    <row r="146" spans="4:5" x14ac:dyDescent="0.3">
      <c r="D146" s="154"/>
      <c r="E146" s="154"/>
    </row>
    <row r="147" spans="4:5" x14ac:dyDescent="0.3">
      <c r="D147" s="154"/>
      <c r="E147" s="155"/>
    </row>
  </sheetData>
  <mergeCells count="2">
    <mergeCell ref="A2:E2"/>
    <mergeCell ref="A4:E4"/>
  </mergeCells>
  <pageMargins left="0.511811024" right="0.511811024" top="0.78740157499999996" bottom="0.78740157499999996" header="0.31496062000000002" footer="0.31496062000000002"/>
  <pageSetup paperSize="9" scale="56" orientation="portrait" r:id="rId1"/>
  <rowBreaks count="2" manualBreakCount="2">
    <brk id="33" max="16383" man="1"/>
    <brk id="11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0"/>
  <sheetViews>
    <sheetView showGridLines="0" zoomScale="110" zoomScaleNormal="110" zoomScaleSheetLayoutView="100" workbookViewId="0">
      <selection activeCell="H11" sqref="H11"/>
    </sheetView>
  </sheetViews>
  <sheetFormatPr defaultColWidth="7.88671875" defaultRowHeight="15" x14ac:dyDescent="0.25"/>
  <cols>
    <col min="1" max="1" width="29.33203125" style="107" customWidth="1"/>
    <col min="2" max="2" width="12.109375" style="107" customWidth="1"/>
    <col min="3" max="3" width="16" style="107" customWidth="1"/>
    <col min="4" max="4" width="16" style="107" bestFit="1" customWidth="1"/>
    <col min="5" max="5" width="15.5546875" style="107" customWidth="1"/>
    <col min="6" max="6" width="16.88671875" style="107" customWidth="1"/>
    <col min="7" max="7" width="15.109375" style="107" customWidth="1"/>
    <col min="8" max="8" width="13.6640625" style="107" customWidth="1"/>
    <col min="9" max="9" width="17" style="107" customWidth="1"/>
    <col min="10" max="10" width="15.44140625" style="107" customWidth="1"/>
    <col min="11" max="11" width="22.44140625" style="107" bestFit="1" customWidth="1"/>
    <col min="12" max="12" width="19.5546875" style="107" bestFit="1" customWidth="1"/>
    <col min="13" max="13" width="14.109375" style="107" customWidth="1"/>
    <col min="14" max="14" width="27.21875" style="107" bestFit="1" customWidth="1"/>
    <col min="15" max="15" width="18.109375" style="107" bestFit="1" customWidth="1"/>
    <col min="16" max="16" width="21.6640625" style="107" bestFit="1" customWidth="1"/>
    <col min="17" max="17" width="20.44140625" style="107" customWidth="1"/>
    <col min="18" max="253" width="7.88671875" style="107"/>
    <col min="254" max="254" width="29.33203125" style="107" customWidth="1"/>
    <col min="255" max="255" width="14.44140625" style="107" customWidth="1"/>
    <col min="256" max="256" width="16" style="107" customWidth="1"/>
    <col min="257" max="258" width="13.6640625" style="107" customWidth="1"/>
    <col min="259" max="259" width="16.88671875" style="107" customWidth="1"/>
    <col min="260" max="260" width="15.109375" style="107" customWidth="1"/>
    <col min="261" max="261" width="13.6640625" style="107" customWidth="1"/>
    <col min="262" max="262" width="17" style="107" customWidth="1"/>
    <col min="263" max="263" width="13.109375" style="107" bestFit="1" customWidth="1"/>
    <col min="264" max="264" width="7.88671875" style="107"/>
    <col min="265" max="265" width="14.33203125" style="107" bestFit="1" customWidth="1"/>
    <col min="266" max="266" width="16.44140625" style="107" bestFit="1" customWidth="1"/>
    <col min="267" max="509" width="7.88671875" style="107"/>
    <col min="510" max="510" width="29.33203125" style="107" customWidth="1"/>
    <col min="511" max="511" width="14.44140625" style="107" customWidth="1"/>
    <col min="512" max="512" width="16" style="107" customWidth="1"/>
    <col min="513" max="514" width="13.6640625" style="107" customWidth="1"/>
    <col min="515" max="515" width="16.88671875" style="107" customWidth="1"/>
    <col min="516" max="516" width="15.109375" style="107" customWidth="1"/>
    <col min="517" max="517" width="13.6640625" style="107" customWidth="1"/>
    <col min="518" max="518" width="17" style="107" customWidth="1"/>
    <col min="519" max="519" width="13.109375" style="107" bestFit="1" customWidth="1"/>
    <col min="520" max="520" width="7.88671875" style="107"/>
    <col min="521" max="521" width="14.33203125" style="107" bestFit="1" customWidth="1"/>
    <col min="522" max="522" width="16.44140625" style="107" bestFit="1" customWidth="1"/>
    <col min="523" max="765" width="7.88671875" style="107"/>
    <col min="766" max="766" width="29.33203125" style="107" customWidth="1"/>
    <col min="767" max="767" width="14.44140625" style="107" customWidth="1"/>
    <col min="768" max="768" width="16" style="107" customWidth="1"/>
    <col min="769" max="770" width="13.6640625" style="107" customWidth="1"/>
    <col min="771" max="771" width="16.88671875" style="107" customWidth="1"/>
    <col min="772" max="772" width="15.109375" style="107" customWidth="1"/>
    <col min="773" max="773" width="13.6640625" style="107" customWidth="1"/>
    <col min="774" max="774" width="17" style="107" customWidth="1"/>
    <col min="775" max="775" width="13.109375" style="107" bestFit="1" customWidth="1"/>
    <col min="776" max="776" width="7.88671875" style="107"/>
    <col min="777" max="777" width="14.33203125" style="107" bestFit="1" customWidth="1"/>
    <col min="778" max="778" width="16.44140625" style="107" bestFit="1" customWidth="1"/>
    <col min="779" max="1021" width="7.88671875" style="107"/>
    <col min="1022" max="1022" width="29.33203125" style="107" customWidth="1"/>
    <col min="1023" max="1023" width="14.44140625" style="107" customWidth="1"/>
    <col min="1024" max="1024" width="16" style="107" customWidth="1"/>
    <col min="1025" max="1026" width="13.6640625" style="107" customWidth="1"/>
    <col min="1027" max="1027" width="16.88671875" style="107" customWidth="1"/>
    <col min="1028" max="1028" width="15.109375" style="107" customWidth="1"/>
    <col min="1029" max="1029" width="13.6640625" style="107" customWidth="1"/>
    <col min="1030" max="1030" width="17" style="107" customWidth="1"/>
    <col min="1031" max="1031" width="13.109375" style="107" bestFit="1" customWidth="1"/>
    <col min="1032" max="1032" width="7.88671875" style="107"/>
    <col min="1033" max="1033" width="14.33203125" style="107" bestFit="1" customWidth="1"/>
    <col min="1034" max="1034" width="16.44140625" style="107" bestFit="1" customWidth="1"/>
    <col min="1035" max="1277" width="7.88671875" style="107"/>
    <col min="1278" max="1278" width="29.33203125" style="107" customWidth="1"/>
    <col min="1279" max="1279" width="14.44140625" style="107" customWidth="1"/>
    <col min="1280" max="1280" width="16" style="107" customWidth="1"/>
    <col min="1281" max="1282" width="13.6640625" style="107" customWidth="1"/>
    <col min="1283" max="1283" width="16.88671875" style="107" customWidth="1"/>
    <col min="1284" max="1284" width="15.109375" style="107" customWidth="1"/>
    <col min="1285" max="1285" width="13.6640625" style="107" customWidth="1"/>
    <col min="1286" max="1286" width="17" style="107" customWidth="1"/>
    <col min="1287" max="1287" width="13.109375" style="107" bestFit="1" customWidth="1"/>
    <col min="1288" max="1288" width="7.88671875" style="107"/>
    <col min="1289" max="1289" width="14.33203125" style="107" bestFit="1" customWidth="1"/>
    <col min="1290" max="1290" width="16.44140625" style="107" bestFit="1" customWidth="1"/>
    <col min="1291" max="1533" width="7.88671875" style="107"/>
    <col min="1534" max="1534" width="29.33203125" style="107" customWidth="1"/>
    <col min="1535" max="1535" width="14.44140625" style="107" customWidth="1"/>
    <col min="1536" max="1536" width="16" style="107" customWidth="1"/>
    <col min="1537" max="1538" width="13.6640625" style="107" customWidth="1"/>
    <col min="1539" max="1539" width="16.88671875" style="107" customWidth="1"/>
    <col min="1540" max="1540" width="15.109375" style="107" customWidth="1"/>
    <col min="1541" max="1541" width="13.6640625" style="107" customWidth="1"/>
    <col min="1542" max="1542" width="17" style="107" customWidth="1"/>
    <col min="1543" max="1543" width="13.109375" style="107" bestFit="1" customWidth="1"/>
    <col min="1544" max="1544" width="7.88671875" style="107"/>
    <col min="1545" max="1545" width="14.33203125" style="107" bestFit="1" customWidth="1"/>
    <col min="1546" max="1546" width="16.44140625" style="107" bestFit="1" customWidth="1"/>
    <col min="1547" max="1789" width="7.88671875" style="107"/>
    <col min="1790" max="1790" width="29.33203125" style="107" customWidth="1"/>
    <col min="1791" max="1791" width="14.44140625" style="107" customWidth="1"/>
    <col min="1792" max="1792" width="16" style="107" customWidth="1"/>
    <col min="1793" max="1794" width="13.6640625" style="107" customWidth="1"/>
    <col min="1795" max="1795" width="16.88671875" style="107" customWidth="1"/>
    <col min="1796" max="1796" width="15.109375" style="107" customWidth="1"/>
    <col min="1797" max="1797" width="13.6640625" style="107" customWidth="1"/>
    <col min="1798" max="1798" width="17" style="107" customWidth="1"/>
    <col min="1799" max="1799" width="13.109375" style="107" bestFit="1" customWidth="1"/>
    <col min="1800" max="1800" width="7.88671875" style="107"/>
    <col min="1801" max="1801" width="14.33203125" style="107" bestFit="1" customWidth="1"/>
    <col min="1802" max="1802" width="16.44140625" style="107" bestFit="1" customWidth="1"/>
    <col min="1803" max="2045" width="7.88671875" style="107"/>
    <col min="2046" max="2046" width="29.33203125" style="107" customWidth="1"/>
    <col min="2047" max="2047" width="14.44140625" style="107" customWidth="1"/>
    <col min="2048" max="2048" width="16" style="107" customWidth="1"/>
    <col min="2049" max="2050" width="13.6640625" style="107" customWidth="1"/>
    <col min="2051" max="2051" width="16.88671875" style="107" customWidth="1"/>
    <col min="2052" max="2052" width="15.109375" style="107" customWidth="1"/>
    <col min="2053" max="2053" width="13.6640625" style="107" customWidth="1"/>
    <col min="2054" max="2054" width="17" style="107" customWidth="1"/>
    <col min="2055" max="2055" width="13.109375" style="107" bestFit="1" customWidth="1"/>
    <col min="2056" max="2056" width="7.88671875" style="107"/>
    <col min="2057" max="2057" width="14.33203125" style="107" bestFit="1" customWidth="1"/>
    <col min="2058" max="2058" width="16.44140625" style="107" bestFit="1" customWidth="1"/>
    <col min="2059" max="2301" width="7.88671875" style="107"/>
    <col min="2302" max="2302" width="29.33203125" style="107" customWidth="1"/>
    <col min="2303" max="2303" width="14.44140625" style="107" customWidth="1"/>
    <col min="2304" max="2304" width="16" style="107" customWidth="1"/>
    <col min="2305" max="2306" width="13.6640625" style="107" customWidth="1"/>
    <col min="2307" max="2307" width="16.88671875" style="107" customWidth="1"/>
    <col min="2308" max="2308" width="15.109375" style="107" customWidth="1"/>
    <col min="2309" max="2309" width="13.6640625" style="107" customWidth="1"/>
    <col min="2310" max="2310" width="17" style="107" customWidth="1"/>
    <col min="2311" max="2311" width="13.109375" style="107" bestFit="1" customWidth="1"/>
    <col min="2312" max="2312" width="7.88671875" style="107"/>
    <col min="2313" max="2313" width="14.33203125" style="107" bestFit="1" customWidth="1"/>
    <col min="2314" max="2314" width="16.44140625" style="107" bestFit="1" customWidth="1"/>
    <col min="2315" max="2557" width="7.88671875" style="107"/>
    <col min="2558" max="2558" width="29.33203125" style="107" customWidth="1"/>
    <col min="2559" max="2559" width="14.44140625" style="107" customWidth="1"/>
    <col min="2560" max="2560" width="16" style="107" customWidth="1"/>
    <col min="2561" max="2562" width="13.6640625" style="107" customWidth="1"/>
    <col min="2563" max="2563" width="16.88671875" style="107" customWidth="1"/>
    <col min="2564" max="2564" width="15.109375" style="107" customWidth="1"/>
    <col min="2565" max="2565" width="13.6640625" style="107" customWidth="1"/>
    <col min="2566" max="2566" width="17" style="107" customWidth="1"/>
    <col min="2567" max="2567" width="13.109375" style="107" bestFit="1" customWidth="1"/>
    <col min="2568" max="2568" width="7.88671875" style="107"/>
    <col min="2569" max="2569" width="14.33203125" style="107" bestFit="1" customWidth="1"/>
    <col min="2570" max="2570" width="16.44140625" style="107" bestFit="1" customWidth="1"/>
    <col min="2571" max="2813" width="7.88671875" style="107"/>
    <col min="2814" max="2814" width="29.33203125" style="107" customWidth="1"/>
    <col min="2815" max="2815" width="14.44140625" style="107" customWidth="1"/>
    <col min="2816" max="2816" width="16" style="107" customWidth="1"/>
    <col min="2817" max="2818" width="13.6640625" style="107" customWidth="1"/>
    <col min="2819" max="2819" width="16.88671875" style="107" customWidth="1"/>
    <col min="2820" max="2820" width="15.109375" style="107" customWidth="1"/>
    <col min="2821" max="2821" width="13.6640625" style="107" customWidth="1"/>
    <col min="2822" max="2822" width="17" style="107" customWidth="1"/>
    <col min="2823" max="2823" width="13.109375" style="107" bestFit="1" customWidth="1"/>
    <col min="2824" max="2824" width="7.88671875" style="107"/>
    <col min="2825" max="2825" width="14.33203125" style="107" bestFit="1" customWidth="1"/>
    <col min="2826" max="2826" width="16.44140625" style="107" bestFit="1" customWidth="1"/>
    <col min="2827" max="3069" width="7.88671875" style="107"/>
    <col min="3070" max="3070" width="29.33203125" style="107" customWidth="1"/>
    <col min="3071" max="3071" width="14.44140625" style="107" customWidth="1"/>
    <col min="3072" max="3072" width="16" style="107" customWidth="1"/>
    <col min="3073" max="3074" width="13.6640625" style="107" customWidth="1"/>
    <col min="3075" max="3075" width="16.88671875" style="107" customWidth="1"/>
    <col min="3076" max="3076" width="15.109375" style="107" customWidth="1"/>
    <col min="3077" max="3077" width="13.6640625" style="107" customWidth="1"/>
    <col min="3078" max="3078" width="17" style="107" customWidth="1"/>
    <col min="3079" max="3079" width="13.109375" style="107" bestFit="1" customWidth="1"/>
    <col min="3080" max="3080" width="7.88671875" style="107"/>
    <col min="3081" max="3081" width="14.33203125" style="107" bestFit="1" customWidth="1"/>
    <col min="3082" max="3082" width="16.44140625" style="107" bestFit="1" customWidth="1"/>
    <col min="3083" max="3325" width="7.88671875" style="107"/>
    <col min="3326" max="3326" width="29.33203125" style="107" customWidth="1"/>
    <col min="3327" max="3327" width="14.44140625" style="107" customWidth="1"/>
    <col min="3328" max="3328" width="16" style="107" customWidth="1"/>
    <col min="3329" max="3330" width="13.6640625" style="107" customWidth="1"/>
    <col min="3331" max="3331" width="16.88671875" style="107" customWidth="1"/>
    <col min="3332" max="3332" width="15.109375" style="107" customWidth="1"/>
    <col min="3333" max="3333" width="13.6640625" style="107" customWidth="1"/>
    <col min="3334" max="3334" width="17" style="107" customWidth="1"/>
    <col min="3335" max="3335" width="13.109375" style="107" bestFit="1" customWidth="1"/>
    <col min="3336" max="3336" width="7.88671875" style="107"/>
    <col min="3337" max="3337" width="14.33203125" style="107" bestFit="1" customWidth="1"/>
    <col min="3338" max="3338" width="16.44140625" style="107" bestFit="1" customWidth="1"/>
    <col min="3339" max="3581" width="7.88671875" style="107"/>
    <col min="3582" max="3582" width="29.33203125" style="107" customWidth="1"/>
    <col min="3583" max="3583" width="14.44140625" style="107" customWidth="1"/>
    <col min="3584" max="3584" width="16" style="107" customWidth="1"/>
    <col min="3585" max="3586" width="13.6640625" style="107" customWidth="1"/>
    <col min="3587" max="3587" width="16.88671875" style="107" customWidth="1"/>
    <col min="3588" max="3588" width="15.109375" style="107" customWidth="1"/>
    <col min="3589" max="3589" width="13.6640625" style="107" customWidth="1"/>
    <col min="3590" max="3590" width="17" style="107" customWidth="1"/>
    <col min="3591" max="3591" width="13.109375" style="107" bestFit="1" customWidth="1"/>
    <col min="3592" max="3592" width="7.88671875" style="107"/>
    <col min="3593" max="3593" width="14.33203125" style="107" bestFit="1" customWidth="1"/>
    <col min="3594" max="3594" width="16.44140625" style="107" bestFit="1" customWidth="1"/>
    <col min="3595" max="3837" width="7.88671875" style="107"/>
    <col min="3838" max="3838" width="29.33203125" style="107" customWidth="1"/>
    <col min="3839" max="3839" width="14.44140625" style="107" customWidth="1"/>
    <col min="3840" max="3840" width="16" style="107" customWidth="1"/>
    <col min="3841" max="3842" width="13.6640625" style="107" customWidth="1"/>
    <col min="3843" max="3843" width="16.88671875" style="107" customWidth="1"/>
    <col min="3844" max="3844" width="15.109375" style="107" customWidth="1"/>
    <col min="3845" max="3845" width="13.6640625" style="107" customWidth="1"/>
    <col min="3846" max="3846" width="17" style="107" customWidth="1"/>
    <col min="3847" max="3847" width="13.109375" style="107" bestFit="1" customWidth="1"/>
    <col min="3848" max="3848" width="7.88671875" style="107"/>
    <col min="3849" max="3849" width="14.33203125" style="107" bestFit="1" customWidth="1"/>
    <col min="3850" max="3850" width="16.44140625" style="107" bestFit="1" customWidth="1"/>
    <col min="3851" max="4093" width="7.88671875" style="107"/>
    <col min="4094" max="4094" width="29.33203125" style="107" customWidth="1"/>
    <col min="4095" max="4095" width="14.44140625" style="107" customWidth="1"/>
    <col min="4096" max="4096" width="16" style="107" customWidth="1"/>
    <col min="4097" max="4098" width="13.6640625" style="107" customWidth="1"/>
    <col min="4099" max="4099" width="16.88671875" style="107" customWidth="1"/>
    <col min="4100" max="4100" width="15.109375" style="107" customWidth="1"/>
    <col min="4101" max="4101" width="13.6640625" style="107" customWidth="1"/>
    <col min="4102" max="4102" width="17" style="107" customWidth="1"/>
    <col min="4103" max="4103" width="13.109375" style="107" bestFit="1" customWidth="1"/>
    <col min="4104" max="4104" width="7.88671875" style="107"/>
    <col min="4105" max="4105" width="14.33203125" style="107" bestFit="1" customWidth="1"/>
    <col min="4106" max="4106" width="16.44140625" style="107" bestFit="1" customWidth="1"/>
    <col min="4107" max="4349" width="7.88671875" style="107"/>
    <col min="4350" max="4350" width="29.33203125" style="107" customWidth="1"/>
    <col min="4351" max="4351" width="14.44140625" style="107" customWidth="1"/>
    <col min="4352" max="4352" width="16" style="107" customWidth="1"/>
    <col min="4353" max="4354" width="13.6640625" style="107" customWidth="1"/>
    <col min="4355" max="4355" width="16.88671875" style="107" customWidth="1"/>
    <col min="4356" max="4356" width="15.109375" style="107" customWidth="1"/>
    <col min="4357" max="4357" width="13.6640625" style="107" customWidth="1"/>
    <col min="4358" max="4358" width="17" style="107" customWidth="1"/>
    <col min="4359" max="4359" width="13.109375" style="107" bestFit="1" customWidth="1"/>
    <col min="4360" max="4360" width="7.88671875" style="107"/>
    <col min="4361" max="4361" width="14.33203125" style="107" bestFit="1" customWidth="1"/>
    <col min="4362" max="4362" width="16.44140625" style="107" bestFit="1" customWidth="1"/>
    <col min="4363" max="4605" width="7.88671875" style="107"/>
    <col min="4606" max="4606" width="29.33203125" style="107" customWidth="1"/>
    <col min="4607" max="4607" width="14.44140625" style="107" customWidth="1"/>
    <col min="4608" max="4608" width="16" style="107" customWidth="1"/>
    <col min="4609" max="4610" width="13.6640625" style="107" customWidth="1"/>
    <col min="4611" max="4611" width="16.88671875" style="107" customWidth="1"/>
    <col min="4612" max="4612" width="15.109375" style="107" customWidth="1"/>
    <col min="4613" max="4613" width="13.6640625" style="107" customWidth="1"/>
    <col min="4614" max="4614" width="17" style="107" customWidth="1"/>
    <col min="4615" max="4615" width="13.109375" style="107" bestFit="1" customWidth="1"/>
    <col min="4616" max="4616" width="7.88671875" style="107"/>
    <col min="4617" max="4617" width="14.33203125" style="107" bestFit="1" customWidth="1"/>
    <col min="4618" max="4618" width="16.44140625" style="107" bestFit="1" customWidth="1"/>
    <col min="4619" max="4861" width="7.88671875" style="107"/>
    <col min="4862" max="4862" width="29.33203125" style="107" customWidth="1"/>
    <col min="4863" max="4863" width="14.44140625" style="107" customWidth="1"/>
    <col min="4864" max="4864" width="16" style="107" customWidth="1"/>
    <col min="4865" max="4866" width="13.6640625" style="107" customWidth="1"/>
    <col min="4867" max="4867" width="16.88671875" style="107" customWidth="1"/>
    <col min="4868" max="4868" width="15.109375" style="107" customWidth="1"/>
    <col min="4869" max="4869" width="13.6640625" style="107" customWidth="1"/>
    <col min="4870" max="4870" width="17" style="107" customWidth="1"/>
    <col min="4871" max="4871" width="13.109375" style="107" bestFit="1" customWidth="1"/>
    <col min="4872" max="4872" width="7.88671875" style="107"/>
    <col min="4873" max="4873" width="14.33203125" style="107" bestFit="1" customWidth="1"/>
    <col min="4874" max="4874" width="16.44140625" style="107" bestFit="1" customWidth="1"/>
    <col min="4875" max="5117" width="7.88671875" style="107"/>
    <col min="5118" max="5118" width="29.33203125" style="107" customWidth="1"/>
    <col min="5119" max="5119" width="14.44140625" style="107" customWidth="1"/>
    <col min="5120" max="5120" width="16" style="107" customWidth="1"/>
    <col min="5121" max="5122" width="13.6640625" style="107" customWidth="1"/>
    <col min="5123" max="5123" width="16.88671875" style="107" customWidth="1"/>
    <col min="5124" max="5124" width="15.109375" style="107" customWidth="1"/>
    <col min="5125" max="5125" width="13.6640625" style="107" customWidth="1"/>
    <col min="5126" max="5126" width="17" style="107" customWidth="1"/>
    <col min="5127" max="5127" width="13.109375" style="107" bestFit="1" customWidth="1"/>
    <col min="5128" max="5128" width="7.88671875" style="107"/>
    <col min="5129" max="5129" width="14.33203125" style="107" bestFit="1" customWidth="1"/>
    <col min="5130" max="5130" width="16.44140625" style="107" bestFit="1" customWidth="1"/>
    <col min="5131" max="5373" width="7.88671875" style="107"/>
    <col min="5374" max="5374" width="29.33203125" style="107" customWidth="1"/>
    <col min="5375" max="5375" width="14.44140625" style="107" customWidth="1"/>
    <col min="5376" max="5376" width="16" style="107" customWidth="1"/>
    <col min="5377" max="5378" width="13.6640625" style="107" customWidth="1"/>
    <col min="5379" max="5379" width="16.88671875" style="107" customWidth="1"/>
    <col min="5380" max="5380" width="15.109375" style="107" customWidth="1"/>
    <col min="5381" max="5381" width="13.6640625" style="107" customWidth="1"/>
    <col min="5382" max="5382" width="17" style="107" customWidth="1"/>
    <col min="5383" max="5383" width="13.109375" style="107" bestFit="1" customWidth="1"/>
    <col min="5384" max="5384" width="7.88671875" style="107"/>
    <col min="5385" max="5385" width="14.33203125" style="107" bestFit="1" customWidth="1"/>
    <col min="5386" max="5386" width="16.44140625" style="107" bestFit="1" customWidth="1"/>
    <col min="5387" max="5629" width="7.88671875" style="107"/>
    <col min="5630" max="5630" width="29.33203125" style="107" customWidth="1"/>
    <col min="5631" max="5631" width="14.44140625" style="107" customWidth="1"/>
    <col min="5632" max="5632" width="16" style="107" customWidth="1"/>
    <col min="5633" max="5634" width="13.6640625" style="107" customWidth="1"/>
    <col min="5635" max="5635" width="16.88671875" style="107" customWidth="1"/>
    <col min="5636" max="5636" width="15.109375" style="107" customWidth="1"/>
    <col min="5637" max="5637" width="13.6640625" style="107" customWidth="1"/>
    <col min="5638" max="5638" width="17" style="107" customWidth="1"/>
    <col min="5639" max="5639" width="13.109375" style="107" bestFit="1" customWidth="1"/>
    <col min="5640" max="5640" width="7.88671875" style="107"/>
    <col min="5641" max="5641" width="14.33203125" style="107" bestFit="1" customWidth="1"/>
    <col min="5642" max="5642" width="16.44140625" style="107" bestFit="1" customWidth="1"/>
    <col min="5643" max="5885" width="7.88671875" style="107"/>
    <col min="5886" max="5886" width="29.33203125" style="107" customWidth="1"/>
    <col min="5887" max="5887" width="14.44140625" style="107" customWidth="1"/>
    <col min="5888" max="5888" width="16" style="107" customWidth="1"/>
    <col min="5889" max="5890" width="13.6640625" style="107" customWidth="1"/>
    <col min="5891" max="5891" width="16.88671875" style="107" customWidth="1"/>
    <col min="5892" max="5892" width="15.109375" style="107" customWidth="1"/>
    <col min="5893" max="5893" width="13.6640625" style="107" customWidth="1"/>
    <col min="5894" max="5894" width="17" style="107" customWidth="1"/>
    <col min="5895" max="5895" width="13.109375" style="107" bestFit="1" customWidth="1"/>
    <col min="5896" max="5896" width="7.88671875" style="107"/>
    <col min="5897" max="5897" width="14.33203125" style="107" bestFit="1" customWidth="1"/>
    <col min="5898" max="5898" width="16.44140625" style="107" bestFit="1" customWidth="1"/>
    <col min="5899" max="6141" width="7.88671875" style="107"/>
    <col min="6142" max="6142" width="29.33203125" style="107" customWidth="1"/>
    <col min="6143" max="6143" width="14.44140625" style="107" customWidth="1"/>
    <col min="6144" max="6144" width="16" style="107" customWidth="1"/>
    <col min="6145" max="6146" width="13.6640625" style="107" customWidth="1"/>
    <col min="6147" max="6147" width="16.88671875" style="107" customWidth="1"/>
    <col min="6148" max="6148" width="15.109375" style="107" customWidth="1"/>
    <col min="6149" max="6149" width="13.6640625" style="107" customWidth="1"/>
    <col min="6150" max="6150" width="17" style="107" customWidth="1"/>
    <col min="6151" max="6151" width="13.109375" style="107" bestFit="1" customWidth="1"/>
    <col min="6152" max="6152" width="7.88671875" style="107"/>
    <col min="6153" max="6153" width="14.33203125" style="107" bestFit="1" customWidth="1"/>
    <col min="6154" max="6154" width="16.44140625" style="107" bestFit="1" customWidth="1"/>
    <col min="6155" max="6397" width="7.88671875" style="107"/>
    <col min="6398" max="6398" width="29.33203125" style="107" customWidth="1"/>
    <col min="6399" max="6399" width="14.44140625" style="107" customWidth="1"/>
    <col min="6400" max="6400" width="16" style="107" customWidth="1"/>
    <col min="6401" max="6402" width="13.6640625" style="107" customWidth="1"/>
    <col min="6403" max="6403" width="16.88671875" style="107" customWidth="1"/>
    <col min="6404" max="6404" width="15.109375" style="107" customWidth="1"/>
    <col min="6405" max="6405" width="13.6640625" style="107" customWidth="1"/>
    <col min="6406" max="6406" width="17" style="107" customWidth="1"/>
    <col min="6407" max="6407" width="13.109375" style="107" bestFit="1" customWidth="1"/>
    <col min="6408" max="6408" width="7.88671875" style="107"/>
    <col min="6409" max="6409" width="14.33203125" style="107" bestFit="1" customWidth="1"/>
    <col min="6410" max="6410" width="16.44140625" style="107" bestFit="1" customWidth="1"/>
    <col min="6411" max="6653" width="7.88671875" style="107"/>
    <col min="6654" max="6654" width="29.33203125" style="107" customWidth="1"/>
    <col min="6655" max="6655" width="14.44140625" style="107" customWidth="1"/>
    <col min="6656" max="6656" width="16" style="107" customWidth="1"/>
    <col min="6657" max="6658" width="13.6640625" style="107" customWidth="1"/>
    <col min="6659" max="6659" width="16.88671875" style="107" customWidth="1"/>
    <col min="6660" max="6660" width="15.109375" style="107" customWidth="1"/>
    <col min="6661" max="6661" width="13.6640625" style="107" customWidth="1"/>
    <col min="6662" max="6662" width="17" style="107" customWidth="1"/>
    <col min="6663" max="6663" width="13.109375" style="107" bestFit="1" customWidth="1"/>
    <col min="6664" max="6664" width="7.88671875" style="107"/>
    <col min="6665" max="6665" width="14.33203125" style="107" bestFit="1" customWidth="1"/>
    <col min="6666" max="6666" width="16.44140625" style="107" bestFit="1" customWidth="1"/>
    <col min="6667" max="6909" width="7.88671875" style="107"/>
    <col min="6910" max="6910" width="29.33203125" style="107" customWidth="1"/>
    <col min="6911" max="6911" width="14.44140625" style="107" customWidth="1"/>
    <col min="6912" max="6912" width="16" style="107" customWidth="1"/>
    <col min="6913" max="6914" width="13.6640625" style="107" customWidth="1"/>
    <col min="6915" max="6915" width="16.88671875" style="107" customWidth="1"/>
    <col min="6916" max="6916" width="15.109375" style="107" customWidth="1"/>
    <col min="6917" max="6917" width="13.6640625" style="107" customWidth="1"/>
    <col min="6918" max="6918" width="17" style="107" customWidth="1"/>
    <col min="6919" max="6919" width="13.109375" style="107" bestFit="1" customWidth="1"/>
    <col min="6920" max="6920" width="7.88671875" style="107"/>
    <col min="6921" max="6921" width="14.33203125" style="107" bestFit="1" customWidth="1"/>
    <col min="6922" max="6922" width="16.44140625" style="107" bestFit="1" customWidth="1"/>
    <col min="6923" max="7165" width="7.88671875" style="107"/>
    <col min="7166" max="7166" width="29.33203125" style="107" customWidth="1"/>
    <col min="7167" max="7167" width="14.44140625" style="107" customWidth="1"/>
    <col min="7168" max="7168" width="16" style="107" customWidth="1"/>
    <col min="7169" max="7170" width="13.6640625" style="107" customWidth="1"/>
    <col min="7171" max="7171" width="16.88671875" style="107" customWidth="1"/>
    <col min="7172" max="7172" width="15.109375" style="107" customWidth="1"/>
    <col min="7173" max="7173" width="13.6640625" style="107" customWidth="1"/>
    <col min="7174" max="7174" width="17" style="107" customWidth="1"/>
    <col min="7175" max="7175" width="13.109375" style="107" bestFit="1" customWidth="1"/>
    <col min="7176" max="7176" width="7.88671875" style="107"/>
    <col min="7177" max="7177" width="14.33203125" style="107" bestFit="1" customWidth="1"/>
    <col min="7178" max="7178" width="16.44140625" style="107" bestFit="1" customWidth="1"/>
    <col min="7179" max="7421" width="7.88671875" style="107"/>
    <col min="7422" max="7422" width="29.33203125" style="107" customWidth="1"/>
    <col min="7423" max="7423" width="14.44140625" style="107" customWidth="1"/>
    <col min="7424" max="7424" width="16" style="107" customWidth="1"/>
    <col min="7425" max="7426" width="13.6640625" style="107" customWidth="1"/>
    <col min="7427" max="7427" width="16.88671875" style="107" customWidth="1"/>
    <col min="7428" max="7428" width="15.109375" style="107" customWidth="1"/>
    <col min="7429" max="7429" width="13.6640625" style="107" customWidth="1"/>
    <col min="7430" max="7430" width="17" style="107" customWidth="1"/>
    <col min="7431" max="7431" width="13.109375" style="107" bestFit="1" customWidth="1"/>
    <col min="7432" max="7432" width="7.88671875" style="107"/>
    <col min="7433" max="7433" width="14.33203125" style="107" bestFit="1" customWidth="1"/>
    <col min="7434" max="7434" width="16.44140625" style="107" bestFit="1" customWidth="1"/>
    <col min="7435" max="7677" width="7.88671875" style="107"/>
    <col min="7678" max="7678" width="29.33203125" style="107" customWidth="1"/>
    <col min="7679" max="7679" width="14.44140625" style="107" customWidth="1"/>
    <col min="7680" max="7680" width="16" style="107" customWidth="1"/>
    <col min="7681" max="7682" width="13.6640625" style="107" customWidth="1"/>
    <col min="7683" max="7683" width="16.88671875" style="107" customWidth="1"/>
    <col min="7684" max="7684" width="15.109375" style="107" customWidth="1"/>
    <col min="7685" max="7685" width="13.6640625" style="107" customWidth="1"/>
    <col min="7686" max="7686" width="17" style="107" customWidth="1"/>
    <col min="7687" max="7687" width="13.109375" style="107" bestFit="1" customWidth="1"/>
    <col min="7688" max="7688" width="7.88671875" style="107"/>
    <col min="7689" max="7689" width="14.33203125" style="107" bestFit="1" customWidth="1"/>
    <col min="7690" max="7690" width="16.44140625" style="107" bestFit="1" customWidth="1"/>
    <col min="7691" max="7933" width="7.88671875" style="107"/>
    <col min="7934" max="7934" width="29.33203125" style="107" customWidth="1"/>
    <col min="7935" max="7935" width="14.44140625" style="107" customWidth="1"/>
    <col min="7936" max="7936" width="16" style="107" customWidth="1"/>
    <col min="7937" max="7938" width="13.6640625" style="107" customWidth="1"/>
    <col min="7939" max="7939" width="16.88671875" style="107" customWidth="1"/>
    <col min="7940" max="7940" width="15.109375" style="107" customWidth="1"/>
    <col min="7941" max="7941" width="13.6640625" style="107" customWidth="1"/>
    <col min="7942" max="7942" width="17" style="107" customWidth="1"/>
    <col min="7943" max="7943" width="13.109375" style="107" bestFit="1" customWidth="1"/>
    <col min="7944" max="7944" width="7.88671875" style="107"/>
    <col min="7945" max="7945" width="14.33203125" style="107" bestFit="1" customWidth="1"/>
    <col min="7946" max="7946" width="16.44140625" style="107" bestFit="1" customWidth="1"/>
    <col min="7947" max="8189" width="7.88671875" style="107"/>
    <col min="8190" max="8190" width="29.33203125" style="107" customWidth="1"/>
    <col min="8191" max="8191" width="14.44140625" style="107" customWidth="1"/>
    <col min="8192" max="8192" width="16" style="107" customWidth="1"/>
    <col min="8193" max="8194" width="13.6640625" style="107" customWidth="1"/>
    <col min="8195" max="8195" width="16.88671875" style="107" customWidth="1"/>
    <col min="8196" max="8196" width="15.109375" style="107" customWidth="1"/>
    <col min="8197" max="8197" width="13.6640625" style="107" customWidth="1"/>
    <col min="8198" max="8198" width="17" style="107" customWidth="1"/>
    <col min="8199" max="8199" width="13.109375" style="107" bestFit="1" customWidth="1"/>
    <col min="8200" max="8200" width="7.88671875" style="107"/>
    <col min="8201" max="8201" width="14.33203125" style="107" bestFit="1" customWidth="1"/>
    <col min="8202" max="8202" width="16.44140625" style="107" bestFit="1" customWidth="1"/>
    <col min="8203" max="8445" width="7.88671875" style="107"/>
    <col min="8446" max="8446" width="29.33203125" style="107" customWidth="1"/>
    <col min="8447" max="8447" width="14.44140625" style="107" customWidth="1"/>
    <col min="8448" max="8448" width="16" style="107" customWidth="1"/>
    <col min="8449" max="8450" width="13.6640625" style="107" customWidth="1"/>
    <col min="8451" max="8451" width="16.88671875" style="107" customWidth="1"/>
    <col min="8452" max="8452" width="15.109375" style="107" customWidth="1"/>
    <col min="8453" max="8453" width="13.6640625" style="107" customWidth="1"/>
    <col min="8454" max="8454" width="17" style="107" customWidth="1"/>
    <col min="8455" max="8455" width="13.109375" style="107" bestFit="1" customWidth="1"/>
    <col min="8456" max="8456" width="7.88671875" style="107"/>
    <col min="8457" max="8457" width="14.33203125" style="107" bestFit="1" customWidth="1"/>
    <col min="8458" max="8458" width="16.44140625" style="107" bestFit="1" customWidth="1"/>
    <col min="8459" max="8701" width="7.88671875" style="107"/>
    <col min="8702" max="8702" width="29.33203125" style="107" customWidth="1"/>
    <col min="8703" max="8703" width="14.44140625" style="107" customWidth="1"/>
    <col min="8704" max="8704" width="16" style="107" customWidth="1"/>
    <col min="8705" max="8706" width="13.6640625" style="107" customWidth="1"/>
    <col min="8707" max="8707" width="16.88671875" style="107" customWidth="1"/>
    <col min="8708" max="8708" width="15.109375" style="107" customWidth="1"/>
    <col min="8709" max="8709" width="13.6640625" style="107" customWidth="1"/>
    <col min="8710" max="8710" width="17" style="107" customWidth="1"/>
    <col min="8711" max="8711" width="13.109375" style="107" bestFit="1" customWidth="1"/>
    <col min="8712" max="8712" width="7.88671875" style="107"/>
    <col min="8713" max="8713" width="14.33203125" style="107" bestFit="1" customWidth="1"/>
    <col min="8714" max="8714" width="16.44140625" style="107" bestFit="1" customWidth="1"/>
    <col min="8715" max="8957" width="7.88671875" style="107"/>
    <col min="8958" max="8958" width="29.33203125" style="107" customWidth="1"/>
    <col min="8959" max="8959" width="14.44140625" style="107" customWidth="1"/>
    <col min="8960" max="8960" width="16" style="107" customWidth="1"/>
    <col min="8961" max="8962" width="13.6640625" style="107" customWidth="1"/>
    <col min="8963" max="8963" width="16.88671875" style="107" customWidth="1"/>
    <col min="8964" max="8964" width="15.109375" style="107" customWidth="1"/>
    <col min="8965" max="8965" width="13.6640625" style="107" customWidth="1"/>
    <col min="8966" max="8966" width="17" style="107" customWidth="1"/>
    <col min="8967" max="8967" width="13.109375" style="107" bestFit="1" customWidth="1"/>
    <col min="8968" max="8968" width="7.88671875" style="107"/>
    <col min="8969" max="8969" width="14.33203125" style="107" bestFit="1" customWidth="1"/>
    <col min="8970" max="8970" width="16.44140625" style="107" bestFit="1" customWidth="1"/>
    <col min="8971" max="9213" width="7.88671875" style="107"/>
    <col min="9214" max="9214" width="29.33203125" style="107" customWidth="1"/>
    <col min="9215" max="9215" width="14.44140625" style="107" customWidth="1"/>
    <col min="9216" max="9216" width="16" style="107" customWidth="1"/>
    <col min="9217" max="9218" width="13.6640625" style="107" customWidth="1"/>
    <col min="9219" max="9219" width="16.88671875" style="107" customWidth="1"/>
    <col min="9220" max="9220" width="15.109375" style="107" customWidth="1"/>
    <col min="9221" max="9221" width="13.6640625" style="107" customWidth="1"/>
    <col min="9222" max="9222" width="17" style="107" customWidth="1"/>
    <col min="9223" max="9223" width="13.109375" style="107" bestFit="1" customWidth="1"/>
    <col min="9224" max="9224" width="7.88671875" style="107"/>
    <col min="9225" max="9225" width="14.33203125" style="107" bestFit="1" customWidth="1"/>
    <col min="9226" max="9226" width="16.44140625" style="107" bestFit="1" customWidth="1"/>
    <col min="9227" max="9469" width="7.88671875" style="107"/>
    <col min="9470" max="9470" width="29.33203125" style="107" customWidth="1"/>
    <col min="9471" max="9471" width="14.44140625" style="107" customWidth="1"/>
    <col min="9472" max="9472" width="16" style="107" customWidth="1"/>
    <col min="9473" max="9474" width="13.6640625" style="107" customWidth="1"/>
    <col min="9475" max="9475" width="16.88671875" style="107" customWidth="1"/>
    <col min="9476" max="9476" width="15.109375" style="107" customWidth="1"/>
    <col min="9477" max="9477" width="13.6640625" style="107" customWidth="1"/>
    <col min="9478" max="9478" width="17" style="107" customWidth="1"/>
    <col min="9479" max="9479" width="13.109375" style="107" bestFit="1" customWidth="1"/>
    <col min="9480" max="9480" width="7.88671875" style="107"/>
    <col min="9481" max="9481" width="14.33203125" style="107" bestFit="1" customWidth="1"/>
    <col min="9482" max="9482" width="16.44140625" style="107" bestFit="1" customWidth="1"/>
    <col min="9483" max="9725" width="7.88671875" style="107"/>
    <col min="9726" max="9726" width="29.33203125" style="107" customWidth="1"/>
    <col min="9727" max="9727" width="14.44140625" style="107" customWidth="1"/>
    <col min="9728" max="9728" width="16" style="107" customWidth="1"/>
    <col min="9729" max="9730" width="13.6640625" style="107" customWidth="1"/>
    <col min="9731" max="9731" width="16.88671875" style="107" customWidth="1"/>
    <col min="9732" max="9732" width="15.109375" style="107" customWidth="1"/>
    <col min="9733" max="9733" width="13.6640625" style="107" customWidth="1"/>
    <col min="9734" max="9734" width="17" style="107" customWidth="1"/>
    <col min="9735" max="9735" width="13.109375" style="107" bestFit="1" customWidth="1"/>
    <col min="9736" max="9736" width="7.88671875" style="107"/>
    <col min="9737" max="9737" width="14.33203125" style="107" bestFit="1" customWidth="1"/>
    <col min="9738" max="9738" width="16.44140625" style="107" bestFit="1" customWidth="1"/>
    <col min="9739" max="9981" width="7.88671875" style="107"/>
    <col min="9982" max="9982" width="29.33203125" style="107" customWidth="1"/>
    <col min="9983" max="9983" width="14.44140625" style="107" customWidth="1"/>
    <col min="9984" max="9984" width="16" style="107" customWidth="1"/>
    <col min="9985" max="9986" width="13.6640625" style="107" customWidth="1"/>
    <col min="9987" max="9987" width="16.88671875" style="107" customWidth="1"/>
    <col min="9988" max="9988" width="15.109375" style="107" customWidth="1"/>
    <col min="9989" max="9989" width="13.6640625" style="107" customWidth="1"/>
    <col min="9990" max="9990" width="17" style="107" customWidth="1"/>
    <col min="9991" max="9991" width="13.109375" style="107" bestFit="1" customWidth="1"/>
    <col min="9992" max="9992" width="7.88671875" style="107"/>
    <col min="9993" max="9993" width="14.33203125" style="107" bestFit="1" customWidth="1"/>
    <col min="9994" max="9994" width="16.44140625" style="107" bestFit="1" customWidth="1"/>
    <col min="9995" max="10237" width="7.88671875" style="107"/>
    <col min="10238" max="10238" width="29.33203125" style="107" customWidth="1"/>
    <col min="10239" max="10239" width="14.44140625" style="107" customWidth="1"/>
    <col min="10240" max="10240" width="16" style="107" customWidth="1"/>
    <col min="10241" max="10242" width="13.6640625" style="107" customWidth="1"/>
    <col min="10243" max="10243" width="16.88671875" style="107" customWidth="1"/>
    <col min="10244" max="10244" width="15.109375" style="107" customWidth="1"/>
    <col min="10245" max="10245" width="13.6640625" style="107" customWidth="1"/>
    <col min="10246" max="10246" width="17" style="107" customWidth="1"/>
    <col min="10247" max="10247" width="13.109375" style="107" bestFit="1" customWidth="1"/>
    <col min="10248" max="10248" width="7.88671875" style="107"/>
    <col min="10249" max="10249" width="14.33203125" style="107" bestFit="1" customWidth="1"/>
    <col min="10250" max="10250" width="16.44140625" style="107" bestFit="1" customWidth="1"/>
    <col min="10251" max="10493" width="7.88671875" style="107"/>
    <col min="10494" max="10494" width="29.33203125" style="107" customWidth="1"/>
    <col min="10495" max="10495" width="14.44140625" style="107" customWidth="1"/>
    <col min="10496" max="10496" width="16" style="107" customWidth="1"/>
    <col min="10497" max="10498" width="13.6640625" style="107" customWidth="1"/>
    <col min="10499" max="10499" width="16.88671875" style="107" customWidth="1"/>
    <col min="10500" max="10500" width="15.109375" style="107" customWidth="1"/>
    <col min="10501" max="10501" width="13.6640625" style="107" customWidth="1"/>
    <col min="10502" max="10502" width="17" style="107" customWidth="1"/>
    <col min="10503" max="10503" width="13.109375" style="107" bestFit="1" customWidth="1"/>
    <col min="10504" max="10504" width="7.88671875" style="107"/>
    <col min="10505" max="10505" width="14.33203125" style="107" bestFit="1" customWidth="1"/>
    <col min="10506" max="10506" width="16.44140625" style="107" bestFit="1" customWidth="1"/>
    <col min="10507" max="10749" width="7.88671875" style="107"/>
    <col min="10750" max="10750" width="29.33203125" style="107" customWidth="1"/>
    <col min="10751" max="10751" width="14.44140625" style="107" customWidth="1"/>
    <col min="10752" max="10752" width="16" style="107" customWidth="1"/>
    <col min="10753" max="10754" width="13.6640625" style="107" customWidth="1"/>
    <col min="10755" max="10755" width="16.88671875" style="107" customWidth="1"/>
    <col min="10756" max="10756" width="15.109375" style="107" customWidth="1"/>
    <col min="10757" max="10757" width="13.6640625" style="107" customWidth="1"/>
    <col min="10758" max="10758" width="17" style="107" customWidth="1"/>
    <col min="10759" max="10759" width="13.109375" style="107" bestFit="1" customWidth="1"/>
    <col min="10760" max="10760" width="7.88671875" style="107"/>
    <col min="10761" max="10761" width="14.33203125" style="107" bestFit="1" customWidth="1"/>
    <col min="10762" max="10762" width="16.44140625" style="107" bestFit="1" customWidth="1"/>
    <col min="10763" max="11005" width="7.88671875" style="107"/>
    <col min="11006" max="11006" width="29.33203125" style="107" customWidth="1"/>
    <col min="11007" max="11007" width="14.44140625" style="107" customWidth="1"/>
    <col min="11008" max="11008" width="16" style="107" customWidth="1"/>
    <col min="11009" max="11010" width="13.6640625" style="107" customWidth="1"/>
    <col min="11011" max="11011" width="16.88671875" style="107" customWidth="1"/>
    <col min="11012" max="11012" width="15.109375" style="107" customWidth="1"/>
    <col min="11013" max="11013" width="13.6640625" style="107" customWidth="1"/>
    <col min="11014" max="11014" width="17" style="107" customWidth="1"/>
    <col min="11015" max="11015" width="13.109375" style="107" bestFit="1" customWidth="1"/>
    <col min="11016" max="11016" width="7.88671875" style="107"/>
    <col min="11017" max="11017" width="14.33203125" style="107" bestFit="1" customWidth="1"/>
    <col min="11018" max="11018" width="16.44140625" style="107" bestFit="1" customWidth="1"/>
    <col min="11019" max="11261" width="7.88671875" style="107"/>
    <col min="11262" max="11262" width="29.33203125" style="107" customWidth="1"/>
    <col min="11263" max="11263" width="14.44140625" style="107" customWidth="1"/>
    <col min="11264" max="11264" width="16" style="107" customWidth="1"/>
    <col min="11265" max="11266" width="13.6640625" style="107" customWidth="1"/>
    <col min="11267" max="11267" width="16.88671875" style="107" customWidth="1"/>
    <col min="11268" max="11268" width="15.109375" style="107" customWidth="1"/>
    <col min="11269" max="11269" width="13.6640625" style="107" customWidth="1"/>
    <col min="11270" max="11270" width="17" style="107" customWidth="1"/>
    <col min="11271" max="11271" width="13.109375" style="107" bestFit="1" customWidth="1"/>
    <col min="11272" max="11272" width="7.88671875" style="107"/>
    <col min="11273" max="11273" width="14.33203125" style="107" bestFit="1" customWidth="1"/>
    <col min="11274" max="11274" width="16.44140625" style="107" bestFit="1" customWidth="1"/>
    <col min="11275" max="11517" width="7.88671875" style="107"/>
    <col min="11518" max="11518" width="29.33203125" style="107" customWidth="1"/>
    <col min="11519" max="11519" width="14.44140625" style="107" customWidth="1"/>
    <col min="11520" max="11520" width="16" style="107" customWidth="1"/>
    <col min="11521" max="11522" width="13.6640625" style="107" customWidth="1"/>
    <col min="11523" max="11523" width="16.88671875" style="107" customWidth="1"/>
    <col min="11524" max="11524" width="15.109375" style="107" customWidth="1"/>
    <col min="11525" max="11525" width="13.6640625" style="107" customWidth="1"/>
    <col min="11526" max="11526" width="17" style="107" customWidth="1"/>
    <col min="11527" max="11527" width="13.109375" style="107" bestFit="1" customWidth="1"/>
    <col min="11528" max="11528" width="7.88671875" style="107"/>
    <col min="11529" max="11529" width="14.33203125" style="107" bestFit="1" customWidth="1"/>
    <col min="11530" max="11530" width="16.44140625" style="107" bestFit="1" customWidth="1"/>
    <col min="11531" max="11773" width="7.88671875" style="107"/>
    <col min="11774" max="11774" width="29.33203125" style="107" customWidth="1"/>
    <col min="11775" max="11775" width="14.44140625" style="107" customWidth="1"/>
    <col min="11776" max="11776" width="16" style="107" customWidth="1"/>
    <col min="11777" max="11778" width="13.6640625" style="107" customWidth="1"/>
    <col min="11779" max="11779" width="16.88671875" style="107" customWidth="1"/>
    <col min="11780" max="11780" width="15.109375" style="107" customWidth="1"/>
    <col min="11781" max="11781" width="13.6640625" style="107" customWidth="1"/>
    <col min="11782" max="11782" width="17" style="107" customWidth="1"/>
    <col min="11783" max="11783" width="13.109375" style="107" bestFit="1" customWidth="1"/>
    <col min="11784" max="11784" width="7.88671875" style="107"/>
    <col min="11785" max="11785" width="14.33203125" style="107" bestFit="1" customWidth="1"/>
    <col min="11786" max="11786" width="16.44140625" style="107" bestFit="1" customWidth="1"/>
    <col min="11787" max="12029" width="7.88671875" style="107"/>
    <col min="12030" max="12030" width="29.33203125" style="107" customWidth="1"/>
    <col min="12031" max="12031" width="14.44140625" style="107" customWidth="1"/>
    <col min="12032" max="12032" width="16" style="107" customWidth="1"/>
    <col min="12033" max="12034" width="13.6640625" style="107" customWidth="1"/>
    <col min="12035" max="12035" width="16.88671875" style="107" customWidth="1"/>
    <col min="12036" max="12036" width="15.109375" style="107" customWidth="1"/>
    <col min="12037" max="12037" width="13.6640625" style="107" customWidth="1"/>
    <col min="12038" max="12038" width="17" style="107" customWidth="1"/>
    <col min="12039" max="12039" width="13.109375" style="107" bestFit="1" customWidth="1"/>
    <col min="12040" max="12040" width="7.88671875" style="107"/>
    <col min="12041" max="12041" width="14.33203125" style="107" bestFit="1" customWidth="1"/>
    <col min="12042" max="12042" width="16.44140625" style="107" bestFit="1" customWidth="1"/>
    <col min="12043" max="12285" width="7.88671875" style="107"/>
    <col min="12286" max="12286" width="29.33203125" style="107" customWidth="1"/>
    <col min="12287" max="12287" width="14.44140625" style="107" customWidth="1"/>
    <col min="12288" max="12288" width="16" style="107" customWidth="1"/>
    <col min="12289" max="12290" width="13.6640625" style="107" customWidth="1"/>
    <col min="12291" max="12291" width="16.88671875" style="107" customWidth="1"/>
    <col min="12292" max="12292" width="15.109375" style="107" customWidth="1"/>
    <col min="12293" max="12293" width="13.6640625" style="107" customWidth="1"/>
    <col min="12294" max="12294" width="17" style="107" customWidth="1"/>
    <col min="12295" max="12295" width="13.109375" style="107" bestFit="1" customWidth="1"/>
    <col min="12296" max="12296" width="7.88671875" style="107"/>
    <col min="12297" max="12297" width="14.33203125" style="107" bestFit="1" customWidth="1"/>
    <col min="12298" max="12298" width="16.44140625" style="107" bestFit="1" customWidth="1"/>
    <col min="12299" max="12541" width="7.88671875" style="107"/>
    <col min="12542" max="12542" width="29.33203125" style="107" customWidth="1"/>
    <col min="12543" max="12543" width="14.44140625" style="107" customWidth="1"/>
    <col min="12544" max="12544" width="16" style="107" customWidth="1"/>
    <col min="12545" max="12546" width="13.6640625" style="107" customWidth="1"/>
    <col min="12547" max="12547" width="16.88671875" style="107" customWidth="1"/>
    <col min="12548" max="12548" width="15.109375" style="107" customWidth="1"/>
    <col min="12549" max="12549" width="13.6640625" style="107" customWidth="1"/>
    <col min="12550" max="12550" width="17" style="107" customWidth="1"/>
    <col min="12551" max="12551" width="13.109375" style="107" bestFit="1" customWidth="1"/>
    <col min="12552" max="12552" width="7.88671875" style="107"/>
    <col min="12553" max="12553" width="14.33203125" style="107" bestFit="1" customWidth="1"/>
    <col min="12554" max="12554" width="16.44140625" style="107" bestFit="1" customWidth="1"/>
    <col min="12555" max="12797" width="7.88671875" style="107"/>
    <col min="12798" max="12798" width="29.33203125" style="107" customWidth="1"/>
    <col min="12799" max="12799" width="14.44140625" style="107" customWidth="1"/>
    <col min="12800" max="12800" width="16" style="107" customWidth="1"/>
    <col min="12801" max="12802" width="13.6640625" style="107" customWidth="1"/>
    <col min="12803" max="12803" width="16.88671875" style="107" customWidth="1"/>
    <col min="12804" max="12804" width="15.109375" style="107" customWidth="1"/>
    <col min="12805" max="12805" width="13.6640625" style="107" customWidth="1"/>
    <col min="12806" max="12806" width="17" style="107" customWidth="1"/>
    <col min="12807" max="12807" width="13.109375" style="107" bestFit="1" customWidth="1"/>
    <col min="12808" max="12808" width="7.88671875" style="107"/>
    <col min="12809" max="12809" width="14.33203125" style="107" bestFit="1" customWidth="1"/>
    <col min="12810" max="12810" width="16.44140625" style="107" bestFit="1" customWidth="1"/>
    <col min="12811" max="13053" width="7.88671875" style="107"/>
    <col min="13054" max="13054" width="29.33203125" style="107" customWidth="1"/>
    <col min="13055" max="13055" width="14.44140625" style="107" customWidth="1"/>
    <col min="13056" max="13056" width="16" style="107" customWidth="1"/>
    <col min="13057" max="13058" width="13.6640625" style="107" customWidth="1"/>
    <col min="13059" max="13059" width="16.88671875" style="107" customWidth="1"/>
    <col min="13060" max="13060" width="15.109375" style="107" customWidth="1"/>
    <col min="13061" max="13061" width="13.6640625" style="107" customWidth="1"/>
    <col min="13062" max="13062" width="17" style="107" customWidth="1"/>
    <col min="13063" max="13063" width="13.109375" style="107" bestFit="1" customWidth="1"/>
    <col min="13064" max="13064" width="7.88671875" style="107"/>
    <col min="13065" max="13065" width="14.33203125" style="107" bestFit="1" customWidth="1"/>
    <col min="13066" max="13066" width="16.44140625" style="107" bestFit="1" customWidth="1"/>
    <col min="13067" max="13309" width="7.88671875" style="107"/>
    <col min="13310" max="13310" width="29.33203125" style="107" customWidth="1"/>
    <col min="13311" max="13311" width="14.44140625" style="107" customWidth="1"/>
    <col min="13312" max="13312" width="16" style="107" customWidth="1"/>
    <col min="13313" max="13314" width="13.6640625" style="107" customWidth="1"/>
    <col min="13315" max="13315" width="16.88671875" style="107" customWidth="1"/>
    <col min="13316" max="13316" width="15.109375" style="107" customWidth="1"/>
    <col min="13317" max="13317" width="13.6640625" style="107" customWidth="1"/>
    <col min="13318" max="13318" width="17" style="107" customWidth="1"/>
    <col min="13319" max="13319" width="13.109375" style="107" bestFit="1" customWidth="1"/>
    <col min="13320" max="13320" width="7.88671875" style="107"/>
    <col min="13321" max="13321" width="14.33203125" style="107" bestFit="1" customWidth="1"/>
    <col min="13322" max="13322" width="16.44140625" style="107" bestFit="1" customWidth="1"/>
    <col min="13323" max="13565" width="7.88671875" style="107"/>
    <col min="13566" max="13566" width="29.33203125" style="107" customWidth="1"/>
    <col min="13567" max="13567" width="14.44140625" style="107" customWidth="1"/>
    <col min="13568" max="13568" width="16" style="107" customWidth="1"/>
    <col min="13569" max="13570" width="13.6640625" style="107" customWidth="1"/>
    <col min="13571" max="13571" width="16.88671875" style="107" customWidth="1"/>
    <col min="13572" max="13572" width="15.109375" style="107" customWidth="1"/>
    <col min="13573" max="13573" width="13.6640625" style="107" customWidth="1"/>
    <col min="13574" max="13574" width="17" style="107" customWidth="1"/>
    <col min="13575" max="13575" width="13.109375" style="107" bestFit="1" customWidth="1"/>
    <col min="13576" max="13576" width="7.88671875" style="107"/>
    <col min="13577" max="13577" width="14.33203125" style="107" bestFit="1" customWidth="1"/>
    <col min="13578" max="13578" width="16.44140625" style="107" bestFit="1" customWidth="1"/>
    <col min="13579" max="13821" width="7.88671875" style="107"/>
    <col min="13822" max="13822" width="29.33203125" style="107" customWidth="1"/>
    <col min="13823" max="13823" width="14.44140625" style="107" customWidth="1"/>
    <col min="13824" max="13824" width="16" style="107" customWidth="1"/>
    <col min="13825" max="13826" width="13.6640625" style="107" customWidth="1"/>
    <col min="13827" max="13827" width="16.88671875" style="107" customWidth="1"/>
    <col min="13828" max="13828" width="15.109375" style="107" customWidth="1"/>
    <col min="13829" max="13829" width="13.6640625" style="107" customWidth="1"/>
    <col min="13830" max="13830" width="17" style="107" customWidth="1"/>
    <col min="13831" max="13831" width="13.109375" style="107" bestFit="1" customWidth="1"/>
    <col min="13832" max="13832" width="7.88671875" style="107"/>
    <col min="13833" max="13833" width="14.33203125" style="107" bestFit="1" customWidth="1"/>
    <col min="13834" max="13834" width="16.44140625" style="107" bestFit="1" customWidth="1"/>
    <col min="13835" max="14077" width="7.88671875" style="107"/>
    <col min="14078" max="14078" width="29.33203125" style="107" customWidth="1"/>
    <col min="14079" max="14079" width="14.44140625" style="107" customWidth="1"/>
    <col min="14080" max="14080" width="16" style="107" customWidth="1"/>
    <col min="14081" max="14082" width="13.6640625" style="107" customWidth="1"/>
    <col min="14083" max="14083" width="16.88671875" style="107" customWidth="1"/>
    <col min="14084" max="14084" width="15.109375" style="107" customWidth="1"/>
    <col min="14085" max="14085" width="13.6640625" style="107" customWidth="1"/>
    <col min="14086" max="14086" width="17" style="107" customWidth="1"/>
    <col min="14087" max="14087" width="13.109375" style="107" bestFit="1" customWidth="1"/>
    <col min="14088" max="14088" width="7.88671875" style="107"/>
    <col min="14089" max="14089" width="14.33203125" style="107" bestFit="1" customWidth="1"/>
    <col min="14090" max="14090" width="16.44140625" style="107" bestFit="1" customWidth="1"/>
    <col min="14091" max="14333" width="7.88671875" style="107"/>
    <col min="14334" max="14334" width="29.33203125" style="107" customWidth="1"/>
    <col min="14335" max="14335" width="14.44140625" style="107" customWidth="1"/>
    <col min="14336" max="14336" width="16" style="107" customWidth="1"/>
    <col min="14337" max="14338" width="13.6640625" style="107" customWidth="1"/>
    <col min="14339" max="14339" width="16.88671875" style="107" customWidth="1"/>
    <col min="14340" max="14340" width="15.109375" style="107" customWidth="1"/>
    <col min="14341" max="14341" width="13.6640625" style="107" customWidth="1"/>
    <col min="14342" max="14342" width="17" style="107" customWidth="1"/>
    <col min="14343" max="14343" width="13.109375" style="107" bestFit="1" customWidth="1"/>
    <col min="14344" max="14344" width="7.88671875" style="107"/>
    <col min="14345" max="14345" width="14.33203125" style="107" bestFit="1" customWidth="1"/>
    <col min="14346" max="14346" width="16.44140625" style="107" bestFit="1" customWidth="1"/>
    <col min="14347" max="14589" width="7.88671875" style="107"/>
    <col min="14590" max="14590" width="29.33203125" style="107" customWidth="1"/>
    <col min="14591" max="14591" width="14.44140625" style="107" customWidth="1"/>
    <col min="14592" max="14592" width="16" style="107" customWidth="1"/>
    <col min="14593" max="14594" width="13.6640625" style="107" customWidth="1"/>
    <col min="14595" max="14595" width="16.88671875" style="107" customWidth="1"/>
    <col min="14596" max="14596" width="15.109375" style="107" customWidth="1"/>
    <col min="14597" max="14597" width="13.6640625" style="107" customWidth="1"/>
    <col min="14598" max="14598" width="17" style="107" customWidth="1"/>
    <col min="14599" max="14599" width="13.109375" style="107" bestFit="1" customWidth="1"/>
    <col min="14600" max="14600" width="7.88671875" style="107"/>
    <col min="14601" max="14601" width="14.33203125" style="107" bestFit="1" customWidth="1"/>
    <col min="14602" max="14602" width="16.44140625" style="107" bestFit="1" customWidth="1"/>
    <col min="14603" max="14845" width="7.88671875" style="107"/>
    <col min="14846" max="14846" width="29.33203125" style="107" customWidth="1"/>
    <col min="14847" max="14847" width="14.44140625" style="107" customWidth="1"/>
    <col min="14848" max="14848" width="16" style="107" customWidth="1"/>
    <col min="14849" max="14850" width="13.6640625" style="107" customWidth="1"/>
    <col min="14851" max="14851" width="16.88671875" style="107" customWidth="1"/>
    <col min="14852" max="14852" width="15.109375" style="107" customWidth="1"/>
    <col min="14853" max="14853" width="13.6640625" style="107" customWidth="1"/>
    <col min="14854" max="14854" width="17" style="107" customWidth="1"/>
    <col min="14855" max="14855" width="13.109375" style="107" bestFit="1" customWidth="1"/>
    <col min="14856" max="14856" width="7.88671875" style="107"/>
    <col min="14857" max="14857" width="14.33203125" style="107" bestFit="1" customWidth="1"/>
    <col min="14858" max="14858" width="16.44140625" style="107" bestFit="1" customWidth="1"/>
    <col min="14859" max="15101" width="7.88671875" style="107"/>
    <col min="15102" max="15102" width="29.33203125" style="107" customWidth="1"/>
    <col min="15103" max="15103" width="14.44140625" style="107" customWidth="1"/>
    <col min="15104" max="15104" width="16" style="107" customWidth="1"/>
    <col min="15105" max="15106" width="13.6640625" style="107" customWidth="1"/>
    <col min="15107" max="15107" width="16.88671875" style="107" customWidth="1"/>
    <col min="15108" max="15108" width="15.109375" style="107" customWidth="1"/>
    <col min="15109" max="15109" width="13.6640625" style="107" customWidth="1"/>
    <col min="15110" max="15110" width="17" style="107" customWidth="1"/>
    <col min="15111" max="15111" width="13.109375" style="107" bestFit="1" customWidth="1"/>
    <col min="15112" max="15112" width="7.88671875" style="107"/>
    <col min="15113" max="15113" width="14.33203125" style="107" bestFit="1" customWidth="1"/>
    <col min="15114" max="15114" width="16.44140625" style="107" bestFit="1" customWidth="1"/>
    <col min="15115" max="15357" width="7.88671875" style="107"/>
    <col min="15358" max="15358" width="29.33203125" style="107" customWidth="1"/>
    <col min="15359" max="15359" width="14.44140625" style="107" customWidth="1"/>
    <col min="15360" max="15360" width="16" style="107" customWidth="1"/>
    <col min="15361" max="15362" width="13.6640625" style="107" customWidth="1"/>
    <col min="15363" max="15363" width="16.88671875" style="107" customWidth="1"/>
    <col min="15364" max="15364" width="15.109375" style="107" customWidth="1"/>
    <col min="15365" max="15365" width="13.6640625" style="107" customWidth="1"/>
    <col min="15366" max="15366" width="17" style="107" customWidth="1"/>
    <col min="15367" max="15367" width="13.109375" style="107" bestFit="1" customWidth="1"/>
    <col min="15368" max="15368" width="7.88671875" style="107"/>
    <col min="15369" max="15369" width="14.33203125" style="107" bestFit="1" customWidth="1"/>
    <col min="15370" max="15370" width="16.44140625" style="107" bestFit="1" customWidth="1"/>
    <col min="15371" max="15613" width="7.88671875" style="107"/>
    <col min="15614" max="15614" width="29.33203125" style="107" customWidth="1"/>
    <col min="15615" max="15615" width="14.44140625" style="107" customWidth="1"/>
    <col min="15616" max="15616" width="16" style="107" customWidth="1"/>
    <col min="15617" max="15618" width="13.6640625" style="107" customWidth="1"/>
    <col min="15619" max="15619" width="16.88671875" style="107" customWidth="1"/>
    <col min="15620" max="15620" width="15.109375" style="107" customWidth="1"/>
    <col min="15621" max="15621" width="13.6640625" style="107" customWidth="1"/>
    <col min="15622" max="15622" width="17" style="107" customWidth="1"/>
    <col min="15623" max="15623" width="13.109375" style="107" bestFit="1" customWidth="1"/>
    <col min="15624" max="15624" width="7.88671875" style="107"/>
    <col min="15625" max="15625" width="14.33203125" style="107" bestFit="1" customWidth="1"/>
    <col min="15626" max="15626" width="16.44140625" style="107" bestFit="1" customWidth="1"/>
    <col min="15627" max="15869" width="7.88671875" style="107"/>
    <col min="15870" max="15870" width="29.33203125" style="107" customWidth="1"/>
    <col min="15871" max="15871" width="14.44140625" style="107" customWidth="1"/>
    <col min="15872" max="15872" width="16" style="107" customWidth="1"/>
    <col min="15873" max="15874" width="13.6640625" style="107" customWidth="1"/>
    <col min="15875" max="15875" width="16.88671875" style="107" customWidth="1"/>
    <col min="15876" max="15876" width="15.109375" style="107" customWidth="1"/>
    <col min="15877" max="15877" width="13.6640625" style="107" customWidth="1"/>
    <col min="15878" max="15878" width="17" style="107" customWidth="1"/>
    <col min="15879" max="15879" width="13.109375" style="107" bestFit="1" customWidth="1"/>
    <col min="15880" max="15880" width="7.88671875" style="107"/>
    <col min="15881" max="15881" width="14.33203125" style="107" bestFit="1" customWidth="1"/>
    <col min="15882" max="15882" width="16.44140625" style="107" bestFit="1" customWidth="1"/>
    <col min="15883" max="16125" width="7.88671875" style="107"/>
    <col min="16126" max="16126" width="29.33203125" style="107" customWidth="1"/>
    <col min="16127" max="16127" width="14.44140625" style="107" customWidth="1"/>
    <col min="16128" max="16128" width="16" style="107" customWidth="1"/>
    <col min="16129" max="16130" width="13.6640625" style="107" customWidth="1"/>
    <col min="16131" max="16131" width="16.88671875" style="107" customWidth="1"/>
    <col min="16132" max="16132" width="15.109375" style="107" customWidth="1"/>
    <col min="16133" max="16133" width="13.6640625" style="107" customWidth="1"/>
    <col min="16134" max="16134" width="17" style="107" customWidth="1"/>
    <col min="16135" max="16135" width="13.109375" style="107" bestFit="1" customWidth="1"/>
    <col min="16136" max="16136" width="7.88671875" style="107"/>
    <col min="16137" max="16137" width="14.33203125" style="107" bestFit="1" customWidth="1"/>
    <col min="16138" max="16138" width="16.44140625" style="107" bestFit="1" customWidth="1"/>
    <col min="16139" max="16384" width="7.88671875" style="107"/>
  </cols>
  <sheetData>
    <row r="1" spans="1:17" s="108" customFormat="1" ht="15.75" customHeight="1" x14ac:dyDescent="0.25">
      <c r="A1" s="133" t="s">
        <v>112</v>
      </c>
      <c r="B1" s="133"/>
      <c r="C1" s="133"/>
      <c r="D1" s="135"/>
    </row>
    <row r="2" spans="1:17" s="108" customFormat="1" x14ac:dyDescent="0.25">
      <c r="A2" s="113"/>
      <c r="B2" s="112" t="s">
        <v>76</v>
      </c>
      <c r="C2" s="110" t="s">
        <v>119</v>
      </c>
      <c r="D2" s="110" t="s">
        <v>72</v>
      </c>
    </row>
    <row r="3" spans="1:17" s="108" customFormat="1" ht="13.2" x14ac:dyDescent="0.25">
      <c r="A3" s="111" t="s">
        <v>82</v>
      </c>
      <c r="B3" s="110">
        <v>1</v>
      </c>
      <c r="C3" s="110">
        <v>12.65</v>
      </c>
      <c r="D3" s="109">
        <f>B3*C3</f>
        <v>12.65</v>
      </c>
    </row>
    <row r="4" spans="1:17" s="108" customFormat="1" ht="13.2" x14ac:dyDescent="0.25">
      <c r="A4" s="111" t="s">
        <v>118</v>
      </c>
      <c r="B4" s="110">
        <v>1</v>
      </c>
      <c r="C4" s="110">
        <v>12.65</v>
      </c>
      <c r="D4" s="109">
        <f t="shared" ref="D4" si="0">B4*C4</f>
        <v>12.65</v>
      </c>
    </row>
    <row r="5" spans="1:17" s="108" customFormat="1" ht="13.2" x14ac:dyDescent="0.25">
      <c r="A5" s="111" t="s">
        <v>116</v>
      </c>
      <c r="B5" s="110">
        <v>1</v>
      </c>
      <c r="C5" s="110">
        <v>7.05</v>
      </c>
      <c r="D5" s="109">
        <f t="shared" ref="D5:D6" si="1">B5*C5</f>
        <v>7.05</v>
      </c>
    </row>
    <row r="6" spans="1:17" s="108" customFormat="1" ht="13.2" x14ac:dyDescent="0.25">
      <c r="A6" s="111" t="s">
        <v>81</v>
      </c>
      <c r="B6" s="110">
        <v>1</v>
      </c>
      <c r="C6" s="110">
        <v>21.87</v>
      </c>
      <c r="D6" s="109">
        <f t="shared" si="1"/>
        <v>21.87</v>
      </c>
    </row>
    <row r="7" spans="1:17" s="108" customFormat="1" ht="13.2" x14ac:dyDescent="0.25">
      <c r="A7" s="111" t="s">
        <v>80</v>
      </c>
      <c r="B7" s="110">
        <v>1</v>
      </c>
      <c r="C7" s="110">
        <v>13.63</v>
      </c>
      <c r="D7" s="109">
        <f t="shared" ref="D7" si="2">B7*C7</f>
        <v>13.63</v>
      </c>
    </row>
    <row r="8" spans="1:17" s="108" customFormat="1" ht="13.2" x14ac:dyDescent="0.25"/>
    <row r="9" spans="1:17" x14ac:dyDescent="0.25">
      <c r="A9" s="133" t="s">
        <v>135</v>
      </c>
      <c r="B9" s="133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x14ac:dyDescent="0.25">
      <c r="A10" s="113"/>
      <c r="B10" s="112" t="s">
        <v>76</v>
      </c>
      <c r="C10" s="112" t="s">
        <v>85</v>
      </c>
      <c r="D10" s="145" t="s">
        <v>72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x14ac:dyDescent="0.25">
      <c r="A11" s="111" t="s">
        <v>120</v>
      </c>
      <c r="B11" s="180">
        <v>1</v>
      </c>
      <c r="C11" s="181">
        <v>5000</v>
      </c>
      <c r="D11" s="143">
        <f>B11*C11</f>
        <v>5000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x14ac:dyDescent="0.25">
      <c r="A12" s="111" t="s">
        <v>121</v>
      </c>
      <c r="B12" s="180">
        <v>2</v>
      </c>
      <c r="C12" s="181">
        <v>500</v>
      </c>
      <c r="D12" s="143">
        <f t="shared" ref="D12:D19" si="3">B12*C12</f>
        <v>1000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x14ac:dyDescent="0.25">
      <c r="A13" s="111" t="s">
        <v>122</v>
      </c>
      <c r="B13" s="180">
        <v>1</v>
      </c>
      <c r="C13" s="181">
        <v>9500</v>
      </c>
      <c r="D13" s="143">
        <f t="shared" si="3"/>
        <v>9500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x14ac:dyDescent="0.25">
      <c r="A14" s="111" t="s">
        <v>123</v>
      </c>
      <c r="B14" s="180">
        <v>2</v>
      </c>
      <c r="C14" s="181">
        <v>300</v>
      </c>
      <c r="D14" s="143">
        <f t="shared" si="3"/>
        <v>600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x14ac:dyDescent="0.25">
      <c r="A15" s="111" t="s">
        <v>136</v>
      </c>
      <c r="B15" s="166"/>
      <c r="C15" s="169">
        <v>20000</v>
      </c>
      <c r="D15" s="143">
        <f t="shared" si="3"/>
        <v>0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x14ac:dyDescent="0.25">
      <c r="A16" s="111" t="s">
        <v>137</v>
      </c>
      <c r="B16" s="180">
        <v>1</v>
      </c>
      <c r="C16" s="181">
        <v>1500</v>
      </c>
      <c r="D16" s="143">
        <f>B16*C16*2</f>
        <v>3000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x14ac:dyDescent="0.25">
      <c r="A17" s="111" t="s">
        <v>138</v>
      </c>
      <c r="B17" s="180">
        <v>1</v>
      </c>
      <c r="C17" s="181">
        <v>3000</v>
      </c>
      <c r="D17" s="143">
        <f>B17*C17*2</f>
        <v>6000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x14ac:dyDescent="0.25">
      <c r="A18" s="111" t="s">
        <v>139</v>
      </c>
      <c r="B18" s="180">
        <v>1</v>
      </c>
      <c r="C18" s="181">
        <v>2800</v>
      </c>
      <c r="D18" s="143">
        <f>B18*C18*2</f>
        <v>5600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x14ac:dyDescent="0.25">
      <c r="A19" s="111" t="s">
        <v>140</v>
      </c>
      <c r="B19" s="180">
        <v>4</v>
      </c>
      <c r="C19" s="181">
        <v>300</v>
      </c>
      <c r="D19" s="143">
        <f t="shared" si="3"/>
        <v>1200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x14ac:dyDescent="0.25">
      <c r="A20" s="111" t="s">
        <v>141</v>
      </c>
      <c r="B20" s="180">
        <v>1</v>
      </c>
      <c r="C20" s="181">
        <v>20000</v>
      </c>
      <c r="D20" s="143">
        <f t="shared" ref="D20" si="4">B20*C20</f>
        <v>20000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1:17" x14ac:dyDescent="0.25">
      <c r="A21" s="111" t="s">
        <v>142</v>
      </c>
      <c r="B21" s="180">
        <v>1</v>
      </c>
      <c r="C21" s="181">
        <v>4000</v>
      </c>
      <c r="D21" s="143">
        <f t="shared" ref="D21" si="5">B21*C21</f>
        <v>4000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x14ac:dyDescent="0.25">
      <c r="A22" s="111" t="s">
        <v>144</v>
      </c>
      <c r="B22" s="180">
        <v>2</v>
      </c>
      <c r="C22" s="181">
        <v>2800</v>
      </c>
      <c r="D22" s="143">
        <f>B22*C22</f>
        <v>5600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</row>
    <row r="23" spans="1:17" x14ac:dyDescent="0.25">
      <c r="A23" s="111" t="s">
        <v>148</v>
      </c>
      <c r="B23" s="180">
        <v>1</v>
      </c>
      <c r="C23" s="181">
        <v>3000</v>
      </c>
      <c r="D23" s="143">
        <f>B23*C23</f>
        <v>3000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7" x14ac:dyDescent="0.25">
      <c r="A24" s="134"/>
      <c r="B24" s="158"/>
      <c r="C24" s="165"/>
      <c r="D24" s="165">
        <f>SUM(D11:D23)</f>
        <v>64500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7" s="108" customFormat="1" ht="13.2" x14ac:dyDescent="0.25"/>
    <row r="26" spans="1:17" x14ac:dyDescent="0.25">
      <c r="A26" s="133" t="s">
        <v>127</v>
      </c>
      <c r="B26" s="133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</row>
    <row r="27" spans="1:17" x14ac:dyDescent="0.25">
      <c r="A27" s="113"/>
      <c r="B27" s="112" t="s">
        <v>76</v>
      </c>
      <c r="C27" s="112" t="s">
        <v>85</v>
      </c>
      <c r="D27" s="145" t="s">
        <v>72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</row>
    <row r="28" spans="1:17" x14ac:dyDescent="0.25">
      <c r="A28" s="111" t="s">
        <v>128</v>
      </c>
      <c r="B28" s="178">
        <v>10</v>
      </c>
      <c r="C28" s="179">
        <v>1200</v>
      </c>
      <c r="D28" s="143">
        <f>B28*C28</f>
        <v>12000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1:17" x14ac:dyDescent="0.25">
      <c r="A29" s="111"/>
      <c r="B29" s="178"/>
      <c r="C29" s="179"/>
      <c r="D29" s="143">
        <f t="shared" ref="D29:D32" si="6">B29*C29</f>
        <v>0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7" x14ac:dyDescent="0.25">
      <c r="A30" s="111"/>
      <c r="B30" s="178"/>
      <c r="C30" s="179"/>
      <c r="D30" s="143">
        <f t="shared" si="6"/>
        <v>0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7" x14ac:dyDescent="0.25">
      <c r="A31" s="111"/>
      <c r="B31" s="178"/>
      <c r="C31" s="179"/>
      <c r="D31" s="143">
        <f t="shared" si="6"/>
        <v>0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17" x14ac:dyDescent="0.25">
      <c r="A32" s="111"/>
      <c r="B32" s="178"/>
      <c r="C32" s="179"/>
      <c r="D32" s="143">
        <f t="shared" si="6"/>
        <v>0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5">
      <c r="A33" s="134"/>
      <c r="B33" s="158"/>
      <c r="C33" s="165"/>
      <c r="D33" s="165">
        <f>SUM(D27:D32)</f>
        <v>12000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s="108" customFormat="1" ht="13.2" x14ac:dyDescent="0.25">
      <c r="A34" s="134"/>
      <c r="B34" s="119"/>
      <c r="C34" s="118"/>
      <c r="D34" s="136"/>
    </row>
    <row r="35" spans="1:17" x14ac:dyDescent="0.25">
      <c r="A35" s="133" t="s">
        <v>92</v>
      </c>
      <c r="B35" s="133"/>
      <c r="C35" s="133"/>
      <c r="D35" s="133"/>
      <c r="E35" s="133"/>
      <c r="F35" s="133"/>
      <c r="G35" s="133"/>
      <c r="H35" s="135"/>
      <c r="I35" s="135"/>
    </row>
    <row r="36" spans="1:17" x14ac:dyDescent="0.25">
      <c r="A36" s="113"/>
      <c r="B36" s="112" t="s">
        <v>76</v>
      </c>
      <c r="C36" s="112" t="s">
        <v>93</v>
      </c>
      <c r="D36" s="112" t="s">
        <v>94</v>
      </c>
      <c r="E36" s="112" t="s">
        <v>95</v>
      </c>
      <c r="F36" s="112" t="s">
        <v>96</v>
      </c>
      <c r="G36" s="112" t="s">
        <v>97</v>
      </c>
      <c r="H36" s="112" t="s">
        <v>100</v>
      </c>
      <c r="I36" s="112" t="s">
        <v>126</v>
      </c>
      <c r="J36" s="112" t="s">
        <v>98</v>
      </c>
      <c r="K36" s="112" t="s">
        <v>99</v>
      </c>
      <c r="L36" s="112" t="s">
        <v>103</v>
      </c>
      <c r="M36" s="112" t="s">
        <v>101</v>
      </c>
      <c r="N36" s="112" t="s">
        <v>102</v>
      </c>
      <c r="O36" s="112" t="s">
        <v>124</v>
      </c>
      <c r="P36" s="112" t="s">
        <v>125</v>
      </c>
      <c r="Q36" s="142" t="s">
        <v>72</v>
      </c>
    </row>
    <row r="37" spans="1:17" x14ac:dyDescent="0.25">
      <c r="A37" s="111" t="s">
        <v>82</v>
      </c>
      <c r="B37" s="110">
        <v>9</v>
      </c>
      <c r="C37" s="144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150</v>
      </c>
      <c r="J37" s="144">
        <v>50</v>
      </c>
      <c r="K37" s="144">
        <v>0</v>
      </c>
      <c r="L37" s="144">
        <v>45</v>
      </c>
      <c r="M37" s="144">
        <v>80</v>
      </c>
      <c r="N37" s="144">
        <v>80</v>
      </c>
      <c r="O37" s="144">
        <v>110</v>
      </c>
      <c r="P37" s="144">
        <v>150</v>
      </c>
      <c r="Q37" s="143">
        <f>B37*SUM(C37:P37)</f>
        <v>5985</v>
      </c>
    </row>
    <row r="38" spans="1:17" x14ac:dyDescent="0.25">
      <c r="A38" s="111" t="s">
        <v>118</v>
      </c>
      <c r="B38" s="110">
        <v>2</v>
      </c>
      <c r="C38" s="144">
        <v>0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3">
        <f>B38*SUM(C38:P38)</f>
        <v>0</v>
      </c>
    </row>
    <row r="39" spans="1:17" x14ac:dyDescent="0.25">
      <c r="A39" s="111" t="s">
        <v>116</v>
      </c>
      <c r="B39" s="110">
        <v>10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50</v>
      </c>
      <c r="K39" s="144">
        <v>0</v>
      </c>
      <c r="L39" s="144">
        <v>45</v>
      </c>
      <c r="M39" s="144">
        <v>0</v>
      </c>
      <c r="N39" s="144">
        <v>0</v>
      </c>
      <c r="O39" s="144">
        <v>110</v>
      </c>
      <c r="P39" s="144">
        <v>150</v>
      </c>
      <c r="Q39" s="143">
        <f>B39*SUM(C39:P39)</f>
        <v>3550</v>
      </c>
    </row>
    <row r="40" spans="1:17" x14ac:dyDescent="0.25">
      <c r="A40" s="111" t="s">
        <v>81</v>
      </c>
      <c r="B40" s="110">
        <v>2</v>
      </c>
      <c r="C40" s="144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3">
        <f>B40*SUM(C40:P40)</f>
        <v>0</v>
      </c>
    </row>
    <row r="41" spans="1:17" x14ac:dyDescent="0.25">
      <c r="A41" s="111" t="s">
        <v>80</v>
      </c>
      <c r="B41" s="110">
        <v>1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3">
        <f>B41*SUM(C41:P41)</f>
        <v>0</v>
      </c>
    </row>
    <row r="42" spans="1:17" x14ac:dyDescent="0.25">
      <c r="A42" s="134"/>
      <c r="B42" s="119"/>
      <c r="C42" s="119"/>
      <c r="D42" s="119"/>
      <c r="E42" s="119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7">
        <f>SUM(Q37:Q41)</f>
        <v>9535</v>
      </c>
    </row>
    <row r="43" spans="1:17" s="108" customFormat="1" ht="15.75" customHeight="1" x14ac:dyDescent="0.25">
      <c r="A43" s="133" t="s">
        <v>83</v>
      </c>
      <c r="B43" s="133"/>
      <c r="C43" s="133"/>
      <c r="D43" s="148"/>
    </row>
    <row r="44" spans="1:17" s="108" customFormat="1" x14ac:dyDescent="0.25">
      <c r="A44" s="149"/>
      <c r="B44" s="150" t="s">
        <v>76</v>
      </c>
      <c r="C44" s="151" t="s">
        <v>85</v>
      </c>
      <c r="D44" s="145" t="s">
        <v>72</v>
      </c>
    </row>
    <row r="45" spans="1:17" s="108" customFormat="1" ht="13.2" x14ac:dyDescent="0.25">
      <c r="A45" s="111" t="s">
        <v>82</v>
      </c>
      <c r="B45" s="110">
        <v>9</v>
      </c>
      <c r="C45" s="144">
        <v>1000</v>
      </c>
      <c r="D45" s="143">
        <f>B45*C45</f>
        <v>9000</v>
      </c>
    </row>
    <row r="46" spans="1:17" s="108" customFormat="1" ht="13.2" x14ac:dyDescent="0.25">
      <c r="A46" s="111" t="s">
        <v>118</v>
      </c>
      <c r="B46" s="110">
        <v>2</v>
      </c>
      <c r="C46" s="144">
        <v>1000</v>
      </c>
      <c r="D46" s="143">
        <f t="shared" ref="D46" si="7">B46*C46</f>
        <v>2000</v>
      </c>
    </row>
    <row r="47" spans="1:17" s="108" customFormat="1" ht="13.2" x14ac:dyDescent="0.25">
      <c r="A47" s="111" t="s">
        <v>116</v>
      </c>
      <c r="B47" s="110">
        <v>10</v>
      </c>
      <c r="C47" s="144">
        <v>1000</v>
      </c>
      <c r="D47" s="143">
        <f t="shared" ref="D47" si="8">B47*C47</f>
        <v>10000</v>
      </c>
    </row>
    <row r="48" spans="1:17" s="108" customFormat="1" ht="13.2" x14ac:dyDescent="0.25">
      <c r="A48" s="111" t="s">
        <v>81</v>
      </c>
      <c r="B48" s="110">
        <v>2</v>
      </c>
      <c r="C48" s="144">
        <v>1000</v>
      </c>
      <c r="D48" s="143">
        <f t="shared" ref="D48:D49" si="9">B48*C48</f>
        <v>2000</v>
      </c>
    </row>
    <row r="49" spans="1:8" s="108" customFormat="1" ht="13.2" x14ac:dyDescent="0.25">
      <c r="A49" s="111" t="s">
        <v>80</v>
      </c>
      <c r="B49" s="110">
        <v>1</v>
      </c>
      <c r="C49" s="144">
        <v>1000</v>
      </c>
      <c r="D49" s="143">
        <f t="shared" si="9"/>
        <v>1000</v>
      </c>
    </row>
    <row r="50" spans="1:8" s="108" customFormat="1" ht="13.2" x14ac:dyDescent="0.25">
      <c r="A50" s="134"/>
      <c r="B50" s="119"/>
      <c r="C50" s="119"/>
      <c r="D50" s="147">
        <f>SUM(D45:D49)</f>
        <v>24000</v>
      </c>
    </row>
    <row r="51" spans="1:8" s="108" customFormat="1" ht="15.75" customHeight="1" x14ac:dyDescent="0.25">
      <c r="A51" s="133" t="s">
        <v>110</v>
      </c>
      <c r="B51" s="133"/>
      <c r="C51" s="133"/>
      <c r="D51" s="148"/>
    </row>
    <row r="52" spans="1:8" s="108" customFormat="1" x14ac:dyDescent="0.25">
      <c r="A52" s="113"/>
      <c r="B52" s="112" t="s">
        <v>76</v>
      </c>
      <c r="C52" s="110" t="s">
        <v>85</v>
      </c>
      <c r="D52" s="145" t="s">
        <v>72</v>
      </c>
    </row>
    <row r="53" spans="1:8" s="108" customFormat="1" ht="13.2" x14ac:dyDescent="0.25">
      <c r="A53" s="111" t="s">
        <v>82</v>
      </c>
      <c r="B53" s="110">
        <v>9</v>
      </c>
      <c r="C53" s="144">
        <v>643.87349999999992</v>
      </c>
      <c r="D53" s="143">
        <f>B53*C53</f>
        <v>5794.8614999999991</v>
      </c>
    </row>
    <row r="54" spans="1:8" s="108" customFormat="1" ht="13.2" x14ac:dyDescent="0.25">
      <c r="A54" s="111" t="s">
        <v>118</v>
      </c>
      <c r="B54" s="110">
        <v>2</v>
      </c>
      <c r="C54" s="144">
        <v>643.87349999999992</v>
      </c>
      <c r="D54" s="143">
        <f t="shared" ref="D54:D57" si="10">B54*C54</f>
        <v>1287.7469999999998</v>
      </c>
    </row>
    <row r="55" spans="1:8" s="108" customFormat="1" ht="13.2" x14ac:dyDescent="0.25">
      <c r="A55" s="111" t="s">
        <v>116</v>
      </c>
      <c r="B55" s="110">
        <v>10</v>
      </c>
      <c r="C55" s="144">
        <v>643.87349999999992</v>
      </c>
      <c r="D55" s="143">
        <f t="shared" si="10"/>
        <v>6438.7349999999988</v>
      </c>
    </row>
    <row r="56" spans="1:8" s="108" customFormat="1" ht="13.2" x14ac:dyDescent="0.25">
      <c r="A56" s="111" t="s">
        <v>81</v>
      </c>
      <c r="B56" s="110">
        <v>2</v>
      </c>
      <c r="C56" s="144">
        <v>643.87349999999992</v>
      </c>
      <c r="D56" s="143">
        <f t="shared" si="10"/>
        <v>1287.7469999999998</v>
      </c>
    </row>
    <row r="57" spans="1:8" s="108" customFormat="1" ht="13.2" x14ac:dyDescent="0.25">
      <c r="A57" s="111" t="s">
        <v>80</v>
      </c>
      <c r="B57" s="110">
        <v>1</v>
      </c>
      <c r="C57" s="144">
        <v>643.87349999999992</v>
      </c>
      <c r="D57" s="143">
        <f t="shared" si="10"/>
        <v>643.87349999999992</v>
      </c>
    </row>
    <row r="58" spans="1:8" s="108" customFormat="1" ht="13.2" x14ac:dyDescent="0.25">
      <c r="A58" s="134"/>
      <c r="B58" s="119"/>
      <c r="C58" s="118"/>
      <c r="D58" s="147">
        <f>SUM(D53:D57)</f>
        <v>15452.963999999996</v>
      </c>
    </row>
    <row r="59" spans="1:8" x14ac:dyDescent="0.25">
      <c r="A59" s="133" t="s">
        <v>86</v>
      </c>
      <c r="B59" s="133"/>
      <c r="C59" s="133"/>
      <c r="E59" s="108"/>
    </row>
    <row r="60" spans="1:8" x14ac:dyDescent="0.25">
      <c r="A60" s="113"/>
      <c r="B60" s="112" t="s">
        <v>76</v>
      </c>
      <c r="C60" s="112" t="s">
        <v>86</v>
      </c>
      <c r="D60" s="145" t="s">
        <v>91</v>
      </c>
      <c r="E60" s="108"/>
    </row>
    <row r="61" spans="1:8" x14ac:dyDescent="0.25">
      <c r="A61" s="111" t="s">
        <v>82</v>
      </c>
      <c r="B61" s="110">
        <v>9</v>
      </c>
      <c r="C61" s="144">
        <v>126.49999999999999</v>
      </c>
      <c r="D61" s="143">
        <f>B61*C61*2.3</f>
        <v>2618.5499999999993</v>
      </c>
      <c r="E61" s="108"/>
    </row>
    <row r="62" spans="1:8" x14ac:dyDescent="0.25">
      <c r="A62" s="111" t="s">
        <v>118</v>
      </c>
      <c r="B62" s="110">
        <v>2</v>
      </c>
      <c r="C62" s="144">
        <v>126.49999999999999</v>
      </c>
      <c r="D62" s="143">
        <f t="shared" ref="D62:D65" si="11">B62*C62*2.3</f>
        <v>581.89999999999986</v>
      </c>
      <c r="E62" s="108"/>
    </row>
    <row r="63" spans="1:8" x14ac:dyDescent="0.25">
      <c r="A63" s="111" t="s">
        <v>116</v>
      </c>
      <c r="B63" s="110">
        <v>10</v>
      </c>
      <c r="C63" s="144">
        <v>126.49999999999999</v>
      </c>
      <c r="D63" s="143">
        <f t="shared" si="11"/>
        <v>2909.4999999999991</v>
      </c>
      <c r="E63" s="108"/>
    </row>
    <row r="64" spans="1:8" x14ac:dyDescent="0.25">
      <c r="A64" s="111" t="s">
        <v>81</v>
      </c>
      <c r="B64" s="110">
        <v>2</v>
      </c>
      <c r="C64" s="144">
        <v>126.49999999999999</v>
      </c>
      <c r="D64" s="143">
        <f t="shared" si="11"/>
        <v>581.89999999999986</v>
      </c>
      <c r="E64" s="108"/>
      <c r="H64" s="163">
        <v>1.1499999999999999</v>
      </c>
    </row>
    <row r="65" spans="1:15" x14ac:dyDescent="0.25">
      <c r="A65" s="111" t="s">
        <v>80</v>
      </c>
      <c r="B65" s="110">
        <v>1</v>
      </c>
      <c r="C65" s="144">
        <v>126.49999999999999</v>
      </c>
      <c r="D65" s="143">
        <f t="shared" si="11"/>
        <v>290.94999999999993</v>
      </c>
      <c r="E65" s="108"/>
    </row>
    <row r="66" spans="1:15" x14ac:dyDescent="0.25">
      <c r="A66" s="134"/>
      <c r="B66" s="119"/>
      <c r="C66" s="119"/>
      <c r="D66" s="147">
        <f>SUM(D61:D65)</f>
        <v>6982.7999999999975</v>
      </c>
    </row>
    <row r="67" spans="1:15" s="108" customFormat="1" ht="17.25" customHeight="1" x14ac:dyDescent="0.25">
      <c r="A67" s="133" t="s">
        <v>84</v>
      </c>
      <c r="B67" s="133"/>
      <c r="C67" s="133"/>
      <c r="D67" s="133"/>
      <c r="E67" s="133"/>
      <c r="F67" s="133"/>
      <c r="G67" s="133"/>
      <c r="H67" s="135"/>
      <c r="I67" s="135"/>
    </row>
    <row r="68" spans="1:15" x14ac:dyDescent="0.25">
      <c r="A68" s="113"/>
      <c r="B68" s="112" t="s">
        <v>76</v>
      </c>
      <c r="C68" s="112" t="s">
        <v>87</v>
      </c>
      <c r="D68" s="112" t="s">
        <v>104</v>
      </c>
      <c r="E68" s="112" t="s">
        <v>88</v>
      </c>
      <c r="F68" s="112" t="s">
        <v>89</v>
      </c>
      <c r="G68" s="112" t="s">
        <v>90</v>
      </c>
      <c r="H68" s="112" t="s">
        <v>105</v>
      </c>
      <c r="I68" s="112" t="s">
        <v>106</v>
      </c>
      <c r="J68" s="112" t="s">
        <v>107</v>
      </c>
      <c r="K68" s="167" t="s">
        <v>130</v>
      </c>
      <c r="L68" s="112" t="s">
        <v>108</v>
      </c>
      <c r="M68" s="112" t="s">
        <v>109</v>
      </c>
      <c r="N68" s="167" t="s">
        <v>129</v>
      </c>
      <c r="O68" s="145" t="s">
        <v>72</v>
      </c>
    </row>
    <row r="69" spans="1:15" x14ac:dyDescent="0.25">
      <c r="A69" s="111" t="s">
        <v>82</v>
      </c>
      <c r="B69" s="110">
        <v>5</v>
      </c>
      <c r="C69" s="163">
        <v>67.849999999999994</v>
      </c>
      <c r="D69" s="163">
        <v>12.1555</v>
      </c>
      <c r="E69" s="163">
        <f>(90)*1.15*2</f>
        <v>206.99999999999997</v>
      </c>
      <c r="F69" s="163">
        <v>62.364499999999992</v>
      </c>
      <c r="G69" s="163">
        <f>(242.98)*1.15</f>
        <v>279.42699999999996</v>
      </c>
      <c r="H69" s="170">
        <f>3*2</f>
        <v>6</v>
      </c>
      <c r="I69" s="170">
        <f t="shared" ref="I69:I71" si="12">30*3</f>
        <v>90</v>
      </c>
      <c r="J69" s="144">
        <f>3*2*40</f>
        <v>240</v>
      </c>
      <c r="K69" s="169">
        <v>250</v>
      </c>
      <c r="L69" s="163">
        <v>0</v>
      </c>
      <c r="M69" s="163">
        <v>24.15</v>
      </c>
      <c r="N69" s="169">
        <v>0</v>
      </c>
      <c r="O69" s="143">
        <f>B69*(SUM(C69:N69))</f>
        <v>6194.7350000000006</v>
      </c>
    </row>
    <row r="70" spans="1:15" x14ac:dyDescent="0.25">
      <c r="A70" s="111" t="s">
        <v>118</v>
      </c>
      <c r="B70" s="110">
        <v>1</v>
      </c>
      <c r="C70" s="163">
        <v>67.849999999999994</v>
      </c>
      <c r="D70" s="163">
        <v>12.1555</v>
      </c>
      <c r="E70" s="163">
        <f t="shared" ref="E70:E71" si="13">(90)*1.15*2</f>
        <v>206.99999999999997</v>
      </c>
      <c r="F70" s="163">
        <v>62.364499999999992</v>
      </c>
      <c r="G70" s="163">
        <f>(242.98)*1.15</f>
        <v>279.42699999999996</v>
      </c>
      <c r="H70" s="170">
        <f t="shared" ref="H70:H73" si="14">3*2</f>
        <v>6</v>
      </c>
      <c r="I70" s="170">
        <f t="shared" si="12"/>
        <v>90</v>
      </c>
      <c r="J70" s="144">
        <f t="shared" ref="J70:J73" si="15">3*2*40</f>
        <v>240</v>
      </c>
      <c r="K70" s="169">
        <v>250</v>
      </c>
      <c r="L70" s="163">
        <v>0</v>
      </c>
      <c r="M70" s="163">
        <v>24.15</v>
      </c>
      <c r="N70" s="169">
        <v>0</v>
      </c>
      <c r="O70" s="143">
        <f t="shared" ref="O70:O73" si="16">B70*(SUM(C70:N70))</f>
        <v>1238.9470000000001</v>
      </c>
    </row>
    <row r="71" spans="1:15" x14ac:dyDescent="0.25">
      <c r="A71" s="111" t="s">
        <v>116</v>
      </c>
      <c r="B71" s="110">
        <v>5</v>
      </c>
      <c r="C71" s="163">
        <v>67.849999999999994</v>
      </c>
      <c r="D71" s="163">
        <v>12.1555</v>
      </c>
      <c r="E71" s="163">
        <f t="shared" si="13"/>
        <v>206.99999999999997</v>
      </c>
      <c r="F71" s="163">
        <v>62.364499999999992</v>
      </c>
      <c r="G71" s="163">
        <f>(242.98)*1.15</f>
        <v>279.42699999999996</v>
      </c>
      <c r="H71" s="170">
        <f t="shared" si="14"/>
        <v>6</v>
      </c>
      <c r="I71" s="170">
        <f t="shared" si="12"/>
        <v>90</v>
      </c>
      <c r="J71" s="144">
        <f t="shared" si="15"/>
        <v>240</v>
      </c>
      <c r="K71" s="169">
        <v>250</v>
      </c>
      <c r="L71" s="163">
        <v>0</v>
      </c>
      <c r="M71" s="163">
        <v>24.15</v>
      </c>
      <c r="N71" s="169">
        <v>0</v>
      </c>
      <c r="O71" s="143">
        <f t="shared" si="16"/>
        <v>6194.7350000000006</v>
      </c>
    </row>
    <row r="72" spans="1:15" x14ac:dyDescent="0.25">
      <c r="A72" s="111" t="s">
        <v>81</v>
      </c>
      <c r="B72" s="110">
        <v>2</v>
      </c>
      <c r="C72" s="163">
        <v>67.849999999999994</v>
      </c>
      <c r="D72" s="163">
        <v>12.1555</v>
      </c>
      <c r="E72" s="163">
        <f>(90)*1.15</f>
        <v>103.49999999999999</v>
      </c>
      <c r="F72" s="163">
        <v>62.364499999999992</v>
      </c>
      <c r="G72" s="163">
        <f>(242.98)*1.15</f>
        <v>279.42699999999996</v>
      </c>
      <c r="H72" s="170">
        <f t="shared" si="14"/>
        <v>6</v>
      </c>
      <c r="I72" s="170">
        <v>30</v>
      </c>
      <c r="J72" s="144">
        <f t="shared" si="15"/>
        <v>240</v>
      </c>
      <c r="K72" s="169">
        <v>250</v>
      </c>
      <c r="L72" s="163">
        <v>0</v>
      </c>
      <c r="M72" s="163">
        <v>24.15</v>
      </c>
      <c r="N72" s="169">
        <v>0</v>
      </c>
      <c r="O72" s="143">
        <f t="shared" si="16"/>
        <v>2150.8940000000002</v>
      </c>
    </row>
    <row r="73" spans="1:15" x14ac:dyDescent="0.25">
      <c r="A73" s="111" t="s">
        <v>80</v>
      </c>
      <c r="B73" s="110">
        <v>1</v>
      </c>
      <c r="C73" s="163">
        <v>67.849999999999994</v>
      </c>
      <c r="D73" s="163">
        <v>12.1555</v>
      </c>
      <c r="E73" s="163">
        <f>(90)*1.15</f>
        <v>103.49999999999999</v>
      </c>
      <c r="F73" s="163">
        <v>62.364499999999992</v>
      </c>
      <c r="G73" s="163">
        <f>(242.98)*1.15</f>
        <v>279.42699999999996</v>
      </c>
      <c r="H73" s="170">
        <f t="shared" si="14"/>
        <v>6</v>
      </c>
      <c r="I73" s="170">
        <v>30</v>
      </c>
      <c r="J73" s="144">
        <f t="shared" si="15"/>
        <v>240</v>
      </c>
      <c r="K73" s="169">
        <v>250</v>
      </c>
      <c r="L73" s="163">
        <v>0</v>
      </c>
      <c r="M73" s="163">
        <v>24.15</v>
      </c>
      <c r="N73" s="169">
        <v>0</v>
      </c>
      <c r="O73" s="143">
        <f t="shared" si="16"/>
        <v>1075.4470000000001</v>
      </c>
    </row>
    <row r="74" spans="1:15" x14ac:dyDescent="0.25">
      <c r="A74" s="108"/>
      <c r="B74" s="108"/>
      <c r="C74" s="108"/>
      <c r="D74" s="108"/>
      <c r="E74" s="108"/>
      <c r="O74" s="138">
        <f>SUM(O69:O73)</f>
        <v>16854.758000000002</v>
      </c>
    </row>
    <row r="75" spans="1:15" s="108" customFormat="1" ht="17.25" customHeight="1" x14ac:dyDescent="0.25">
      <c r="A75" s="133" t="s">
        <v>111</v>
      </c>
      <c r="B75" s="133"/>
      <c r="C75" s="133"/>
      <c r="D75" s="133"/>
    </row>
    <row r="76" spans="1:15" x14ac:dyDescent="0.25">
      <c r="A76" s="113"/>
      <c r="B76" s="112" t="s">
        <v>76</v>
      </c>
      <c r="C76" s="112" t="s">
        <v>117</v>
      </c>
      <c r="D76" s="145" t="s">
        <v>72</v>
      </c>
    </row>
    <row r="77" spans="1:15" x14ac:dyDescent="0.25">
      <c r="A77" s="111" t="s">
        <v>82</v>
      </c>
      <c r="B77" s="110">
        <v>9</v>
      </c>
      <c r="C77" s="163">
        <v>4.5</v>
      </c>
      <c r="D77" s="143">
        <f>B77*C77*2*40</f>
        <v>3240</v>
      </c>
    </row>
    <row r="78" spans="1:15" x14ac:dyDescent="0.25">
      <c r="A78" s="111" t="s">
        <v>118</v>
      </c>
      <c r="B78" s="110">
        <v>2</v>
      </c>
      <c r="C78" s="163">
        <v>4.5</v>
      </c>
      <c r="D78" s="143">
        <f t="shared" ref="D78:D81" si="17">B78*C78*2*40</f>
        <v>720</v>
      </c>
    </row>
    <row r="79" spans="1:15" x14ac:dyDescent="0.25">
      <c r="A79" s="111" t="s">
        <v>116</v>
      </c>
      <c r="B79" s="110">
        <v>10</v>
      </c>
      <c r="C79" s="163">
        <v>4.5</v>
      </c>
      <c r="D79" s="143">
        <f t="shared" si="17"/>
        <v>3600</v>
      </c>
    </row>
    <row r="80" spans="1:15" x14ac:dyDescent="0.25">
      <c r="A80" s="111" t="s">
        <v>81</v>
      </c>
      <c r="B80" s="110">
        <v>2</v>
      </c>
      <c r="C80" s="163">
        <v>4.5</v>
      </c>
      <c r="D80" s="143">
        <f t="shared" si="17"/>
        <v>720</v>
      </c>
    </row>
    <row r="81" spans="1:17" x14ac:dyDescent="0.25">
      <c r="A81" s="111" t="s">
        <v>80</v>
      </c>
      <c r="B81" s="110">
        <v>1</v>
      </c>
      <c r="C81" s="163">
        <v>4.5</v>
      </c>
      <c r="D81" s="143">
        <f t="shared" si="17"/>
        <v>360</v>
      </c>
    </row>
    <row r="82" spans="1:17" x14ac:dyDescent="0.25">
      <c r="A82" s="134"/>
      <c r="B82" s="119"/>
      <c r="C82" s="119"/>
      <c r="D82" s="147">
        <f>SUM(D77:D81)</f>
        <v>8640</v>
      </c>
    </row>
    <row r="83" spans="1:17" s="108" customFormat="1" ht="15.75" customHeight="1" x14ac:dyDescent="0.25">
      <c r="A83" s="133" t="s">
        <v>113</v>
      </c>
      <c r="B83" s="133"/>
      <c r="C83" s="133"/>
      <c r="D83" s="133"/>
      <c r="E83" s="133"/>
      <c r="F83" s="133"/>
      <c r="G83" s="133"/>
      <c r="H83" s="114"/>
      <c r="J83" s="115"/>
    </row>
    <row r="84" spans="1:17" s="108" customFormat="1" x14ac:dyDescent="0.25">
      <c r="A84" s="113"/>
      <c r="B84" s="112" t="s">
        <v>76</v>
      </c>
      <c r="C84" s="112" t="s">
        <v>75</v>
      </c>
      <c r="D84" s="110" t="s">
        <v>77</v>
      </c>
      <c r="E84" s="110" t="s">
        <v>74</v>
      </c>
      <c r="F84" s="110" t="s">
        <v>73</v>
      </c>
      <c r="G84" s="145" t="s">
        <v>72</v>
      </c>
      <c r="H84" s="114"/>
      <c r="J84" s="115"/>
    </row>
    <row r="85" spans="1:17" s="108" customFormat="1" ht="13.2" x14ac:dyDescent="0.25">
      <c r="A85" s="111" t="s">
        <v>82</v>
      </c>
      <c r="B85" s="110">
        <v>9</v>
      </c>
      <c r="C85" s="140">
        <v>40</v>
      </c>
      <c r="D85" s="163">
        <v>9.0591249999999981</v>
      </c>
      <c r="E85" s="163">
        <f>(((16.67+10.04))*1.15)*1.15</f>
        <v>35.323974999999997</v>
      </c>
      <c r="F85" s="141">
        <v>0</v>
      </c>
      <c r="G85" s="143">
        <f>B85*C85*(D85+E85+F85)</f>
        <v>15977.915999999999</v>
      </c>
      <c r="H85" s="114"/>
    </row>
    <row r="86" spans="1:17" s="108" customFormat="1" ht="13.2" x14ac:dyDescent="0.25">
      <c r="A86" s="111" t="s">
        <v>118</v>
      </c>
      <c r="B86" s="110">
        <v>2</v>
      </c>
      <c r="C86" s="140">
        <v>40</v>
      </c>
      <c r="D86" s="163">
        <v>9.0591249999999981</v>
      </c>
      <c r="E86" s="163">
        <f>(((16.67+10.04))*1.15)*1.15</f>
        <v>35.323974999999997</v>
      </c>
      <c r="F86" s="141">
        <v>0</v>
      </c>
      <c r="G86" s="143">
        <f t="shared" ref="G86" si="18">B86*C86*(D86+E86+F86)</f>
        <v>3550.6480000000001</v>
      </c>
      <c r="H86" s="114"/>
    </row>
    <row r="87" spans="1:17" s="108" customFormat="1" ht="13.2" x14ac:dyDescent="0.25">
      <c r="A87" s="111" t="s">
        <v>116</v>
      </c>
      <c r="B87" s="110">
        <v>10</v>
      </c>
      <c r="C87" s="140">
        <v>40</v>
      </c>
      <c r="D87" s="163">
        <v>9.0591249999999981</v>
      </c>
      <c r="E87" s="163">
        <f>(((16.67+10.04))*1.15)*1.15</f>
        <v>35.323974999999997</v>
      </c>
      <c r="F87" s="141">
        <v>0</v>
      </c>
      <c r="G87" s="143">
        <f t="shared" ref="G87" si="19">B87*C87*(D87+E87+F87)</f>
        <v>17753.239999999998</v>
      </c>
      <c r="H87" s="114"/>
    </row>
    <row r="88" spans="1:17" s="108" customFormat="1" ht="13.2" x14ac:dyDescent="0.25">
      <c r="A88" s="111" t="s">
        <v>81</v>
      </c>
      <c r="B88" s="110">
        <v>2</v>
      </c>
      <c r="C88" s="140">
        <v>40</v>
      </c>
      <c r="D88" s="163">
        <v>9.0591249999999981</v>
      </c>
      <c r="E88" s="163">
        <f>(((16.67+10.04))*1.15)*1.15</f>
        <v>35.323974999999997</v>
      </c>
      <c r="F88" s="141">
        <v>0</v>
      </c>
      <c r="G88" s="143">
        <f t="shared" ref="G88:G89" si="20">B88*C88*(D88+E88+F88)</f>
        <v>3550.6480000000001</v>
      </c>
      <c r="H88" s="114"/>
    </row>
    <row r="89" spans="1:17" s="108" customFormat="1" ht="13.2" x14ac:dyDescent="0.25">
      <c r="A89" s="111" t="s">
        <v>80</v>
      </c>
      <c r="B89" s="110">
        <v>1</v>
      </c>
      <c r="C89" s="140">
        <v>40</v>
      </c>
      <c r="D89" s="163">
        <v>9.0591249999999981</v>
      </c>
      <c r="E89" s="163">
        <f>(((16.67+10.04))*1.15)*1.15</f>
        <v>35.323974999999997</v>
      </c>
      <c r="F89" s="141">
        <v>0</v>
      </c>
      <c r="G89" s="143">
        <f t="shared" si="20"/>
        <v>1775.3240000000001</v>
      </c>
      <c r="H89" s="114"/>
    </row>
    <row r="90" spans="1:17" s="108" customFormat="1" ht="13.2" x14ac:dyDescent="0.25">
      <c r="A90" s="134"/>
      <c r="B90" s="119"/>
      <c r="C90" s="118"/>
      <c r="D90" s="137"/>
      <c r="G90" s="147">
        <f>SUM(G85:G89)</f>
        <v>42607.775999999998</v>
      </c>
    </row>
    <row r="91" spans="1:17" s="108" customFormat="1" ht="13.2" x14ac:dyDescent="0.25"/>
    <row r="92" spans="1:17" x14ac:dyDescent="0.25">
      <c r="A92" s="133" t="s">
        <v>147</v>
      </c>
      <c r="B92" s="133"/>
      <c r="C92" s="133"/>
      <c r="D92" s="135"/>
    </row>
    <row r="93" spans="1:17" x14ac:dyDescent="0.25">
      <c r="A93" s="113"/>
      <c r="B93" s="112" t="s">
        <v>76</v>
      </c>
      <c r="C93" s="110" t="s">
        <v>119</v>
      </c>
      <c r="D93" s="110" t="s">
        <v>72</v>
      </c>
      <c r="E93" s="108"/>
      <c r="F93" s="108"/>
      <c r="Q93" s="138">
        <f>SUM(Q37:Q41)</f>
        <v>9535</v>
      </c>
    </row>
    <row r="94" spans="1:17" x14ac:dyDescent="0.25">
      <c r="A94" s="111" t="s">
        <v>82</v>
      </c>
      <c r="B94" s="110">
        <v>4</v>
      </c>
      <c r="C94" s="110">
        <v>12.65</v>
      </c>
      <c r="D94" s="143">
        <f>B94*220*C94*1.3</f>
        <v>14471.6</v>
      </c>
    </row>
    <row r="95" spans="1:17" x14ac:dyDescent="0.25">
      <c r="A95" s="111" t="s">
        <v>118</v>
      </c>
      <c r="B95" s="110">
        <v>2</v>
      </c>
      <c r="C95" s="110">
        <v>12.65</v>
      </c>
      <c r="D95" s="143">
        <f t="shared" ref="D95:D99" si="21">B95*220*C95*1.3</f>
        <v>7235.8</v>
      </c>
    </row>
    <row r="96" spans="1:17" x14ac:dyDescent="0.25">
      <c r="A96" s="111" t="s">
        <v>116</v>
      </c>
      <c r="B96" s="110">
        <v>10</v>
      </c>
      <c r="C96" s="110">
        <v>7.05</v>
      </c>
      <c r="D96" s="143">
        <f t="shared" si="21"/>
        <v>20163</v>
      </c>
    </row>
    <row r="97" spans="1:4" x14ac:dyDescent="0.25">
      <c r="A97" s="111" t="s">
        <v>81</v>
      </c>
      <c r="B97" s="110">
        <v>1</v>
      </c>
      <c r="C97" s="110">
        <v>21.87</v>
      </c>
      <c r="D97" s="143">
        <f t="shared" si="21"/>
        <v>6254.8200000000006</v>
      </c>
    </row>
    <row r="98" spans="1:4" x14ac:dyDescent="0.25">
      <c r="A98" s="111" t="s">
        <v>80</v>
      </c>
      <c r="B98" s="110"/>
      <c r="C98" s="110">
        <v>13.63</v>
      </c>
      <c r="D98" s="143">
        <f t="shared" si="21"/>
        <v>0</v>
      </c>
    </row>
    <row r="99" spans="1:4" x14ac:dyDescent="0.25">
      <c r="A99" s="111" t="s">
        <v>146</v>
      </c>
      <c r="B99" s="110"/>
      <c r="C99" s="110">
        <v>12.05</v>
      </c>
      <c r="D99" s="143">
        <f t="shared" si="21"/>
        <v>0</v>
      </c>
    </row>
    <row r="100" spans="1:4" x14ac:dyDescent="0.25">
      <c r="D100" s="147">
        <f>SUM(D94:D99)</f>
        <v>48125.22</v>
      </c>
    </row>
  </sheetData>
  <pageMargins left="0.511811024" right="0.511811024" top="0.78740157499999996" bottom="0.78740157499999996" header="0.31496062000000002" footer="0.31496062000000002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8F61-321B-4D5D-9612-B7098C3CD0F5}">
  <dimension ref="A1:H153"/>
  <sheetViews>
    <sheetView showGridLines="0" topLeftCell="A127" zoomScaleNormal="100" zoomScaleSheetLayoutView="90" workbookViewId="0">
      <selection activeCell="H7" sqref="H7"/>
    </sheetView>
  </sheetViews>
  <sheetFormatPr defaultRowHeight="14.4" x14ac:dyDescent="0.3"/>
  <cols>
    <col min="1" max="1" width="50.44140625" customWidth="1"/>
    <col min="2" max="2" width="13.109375" customWidth="1"/>
    <col min="3" max="3" width="24.33203125" customWidth="1"/>
    <col min="4" max="4" width="12" customWidth="1"/>
    <col min="5" max="5" width="18.33203125" customWidth="1"/>
    <col min="8" max="8" width="13.33203125" bestFit="1" customWidth="1"/>
  </cols>
  <sheetData>
    <row r="1" spans="1:5" ht="7.5" customHeight="1" thickBot="1" x14ac:dyDescent="0.35">
      <c r="A1">
        <v>4</v>
      </c>
    </row>
    <row r="2" spans="1:5" ht="24.75" customHeight="1" thickBot="1" x14ac:dyDescent="0.35">
      <c r="A2" s="159" t="s">
        <v>46</v>
      </c>
      <c r="B2" s="160"/>
      <c r="C2" s="160"/>
      <c r="D2" s="160"/>
      <c r="E2" s="161"/>
    </row>
    <row r="4" spans="1:5" x14ac:dyDescent="0.3">
      <c r="A4" s="162" t="s">
        <v>0</v>
      </c>
      <c r="B4" s="162"/>
      <c r="C4" s="162"/>
      <c r="D4" s="162"/>
      <c r="E4" s="162"/>
    </row>
    <row r="5" spans="1:5" x14ac:dyDescent="0.3">
      <c r="A5" s="2"/>
      <c r="B5" s="2"/>
      <c r="C5" s="2"/>
      <c r="D5" s="2"/>
      <c r="E5" s="2"/>
    </row>
    <row r="6" spans="1:5" x14ac:dyDescent="0.3">
      <c r="A6" s="6" t="s">
        <v>1</v>
      </c>
      <c r="B6" s="2"/>
      <c r="C6" s="2"/>
      <c r="D6" s="2"/>
      <c r="E6" s="2"/>
    </row>
    <row r="7" spans="1:5" ht="39.6" x14ac:dyDescent="0.3">
      <c r="A7" s="24" t="s">
        <v>2</v>
      </c>
      <c r="B7" s="24" t="s">
        <v>3</v>
      </c>
      <c r="C7" s="24" t="s">
        <v>4</v>
      </c>
      <c r="D7" s="24" t="s">
        <v>5</v>
      </c>
      <c r="E7" s="24" t="s">
        <v>6</v>
      </c>
    </row>
    <row r="8" spans="1:5" x14ac:dyDescent="0.3">
      <c r="A8" s="64" t="s">
        <v>131</v>
      </c>
      <c r="B8" s="26">
        <v>352</v>
      </c>
      <c r="C8" s="27">
        <f>'BASE MOI'!D3</f>
        <v>29.55</v>
      </c>
      <c r="D8" s="28">
        <v>1</v>
      </c>
      <c r="E8" s="42">
        <f t="shared" ref="E8:E13" si="0">C8*B8*D8</f>
        <v>10401.6</v>
      </c>
    </row>
    <row r="9" spans="1:5" x14ac:dyDescent="0.3">
      <c r="A9" s="64" t="s">
        <v>132</v>
      </c>
      <c r="B9" s="26">
        <v>352</v>
      </c>
      <c r="C9" s="27">
        <f>'BASE MOI'!D4</f>
        <v>26.36</v>
      </c>
      <c r="D9" s="28">
        <v>1</v>
      </c>
      <c r="E9" s="42">
        <f t="shared" si="0"/>
        <v>9278.7199999999993</v>
      </c>
    </row>
    <row r="10" spans="1:5" x14ac:dyDescent="0.3">
      <c r="A10" s="64" t="s">
        <v>133</v>
      </c>
      <c r="B10" s="26">
        <v>352</v>
      </c>
      <c r="C10" s="27">
        <v>7.05</v>
      </c>
      <c r="D10" s="28">
        <v>1</v>
      </c>
      <c r="E10" s="42">
        <f t="shared" si="0"/>
        <v>2481.6</v>
      </c>
    </row>
    <row r="11" spans="1:5" x14ac:dyDescent="0.3">
      <c r="A11" s="64" t="s">
        <v>134</v>
      </c>
      <c r="B11" s="26">
        <v>352</v>
      </c>
      <c r="C11" s="27">
        <f>'BASE MOI'!D6</f>
        <v>12.65</v>
      </c>
      <c r="D11" s="28">
        <v>1</v>
      </c>
      <c r="E11" s="42">
        <f t="shared" si="0"/>
        <v>4452.8</v>
      </c>
    </row>
    <row r="12" spans="1:5" x14ac:dyDescent="0.3">
      <c r="A12" s="64" t="s">
        <v>149</v>
      </c>
      <c r="B12" s="26">
        <v>352</v>
      </c>
      <c r="C12" s="27">
        <f>3000/B12</f>
        <v>8.5227272727272734</v>
      </c>
      <c r="D12" s="28">
        <v>1</v>
      </c>
      <c r="E12" s="42">
        <f t="shared" ref="E12" si="1">C12*B12*D12</f>
        <v>3000</v>
      </c>
    </row>
    <row r="13" spans="1:5" x14ac:dyDescent="0.3">
      <c r="A13" s="25"/>
      <c r="B13" s="26"/>
      <c r="C13" s="27"/>
      <c r="D13" s="89"/>
      <c r="E13" s="42">
        <f t="shared" si="0"/>
        <v>0</v>
      </c>
    </row>
    <row r="14" spans="1:5" x14ac:dyDescent="0.3">
      <c r="A14" s="21" t="s">
        <v>7</v>
      </c>
      <c r="B14" s="19"/>
      <c r="C14" s="20"/>
      <c r="D14" s="22"/>
      <c r="E14" s="43">
        <f>SUM(E8:E13)</f>
        <v>29614.719999999998</v>
      </c>
    </row>
    <row r="15" spans="1:5" x14ac:dyDescent="0.3">
      <c r="A15" s="39" t="s">
        <v>8</v>
      </c>
      <c r="B15" s="40"/>
      <c r="C15" s="40"/>
      <c r="D15" s="41"/>
      <c r="E15" s="44">
        <f>E14*30%</f>
        <v>8884.4159999999993</v>
      </c>
    </row>
    <row r="16" spans="1:5" x14ac:dyDescent="0.3">
      <c r="A16" s="16"/>
      <c r="B16" s="3"/>
      <c r="C16" s="18"/>
      <c r="D16" s="17"/>
      <c r="E16" s="17"/>
    </row>
    <row r="17" spans="1:5" x14ac:dyDescent="0.3">
      <c r="A17" s="2"/>
      <c r="B17" s="2"/>
      <c r="C17" s="54"/>
      <c r="D17" s="54" t="s">
        <v>9</v>
      </c>
      <c r="E17" s="55">
        <f>E14+E15</f>
        <v>38499.135999999999</v>
      </c>
    </row>
    <row r="18" spans="1:5" x14ac:dyDescent="0.3">
      <c r="A18" s="2"/>
      <c r="B18" s="2"/>
      <c r="C18" s="2"/>
      <c r="D18" s="2"/>
      <c r="E18" s="2"/>
    </row>
    <row r="19" spans="1:5" x14ac:dyDescent="0.3">
      <c r="A19" s="6" t="s">
        <v>10</v>
      </c>
      <c r="B19" s="2"/>
      <c r="C19" s="2"/>
      <c r="D19" s="2"/>
    </row>
    <row r="20" spans="1:5" x14ac:dyDescent="0.3">
      <c r="A20" s="31" t="s">
        <v>11</v>
      </c>
      <c r="B20" s="31" t="s">
        <v>12</v>
      </c>
      <c r="C20" s="31" t="s">
        <v>13</v>
      </c>
      <c r="D20" s="8"/>
    </row>
    <row r="21" spans="1:5" x14ac:dyDescent="0.3">
      <c r="A21" s="48"/>
      <c r="B21" s="48"/>
      <c r="C21" s="48"/>
      <c r="D21" s="1"/>
    </row>
    <row r="22" spans="1:5" x14ac:dyDescent="0.3">
      <c r="A22" s="49" t="s">
        <v>14</v>
      </c>
      <c r="B22" s="50">
        <v>0.85</v>
      </c>
      <c r="C22" s="52">
        <f>E17*B22</f>
        <v>32724.265599999999</v>
      </c>
      <c r="D22" s="9"/>
      <c r="E22" s="2"/>
    </row>
    <row r="23" spans="1:5" x14ac:dyDescent="0.3">
      <c r="A23" s="2"/>
      <c r="B23" s="8"/>
      <c r="C23" s="2"/>
      <c r="D23" s="2"/>
      <c r="E23" s="2"/>
    </row>
    <row r="24" spans="1:5" x14ac:dyDescent="0.3">
      <c r="A24" s="10"/>
      <c r="B24" s="2"/>
      <c r="C24" s="56"/>
      <c r="D24" s="57" t="s">
        <v>15</v>
      </c>
      <c r="E24" s="58">
        <f>E17+C22</f>
        <v>71223.401599999997</v>
      </c>
    </row>
    <row r="25" spans="1:5" x14ac:dyDescent="0.3">
      <c r="A25" s="23" t="s">
        <v>16</v>
      </c>
      <c r="B25" s="2"/>
      <c r="C25" s="2"/>
      <c r="D25" s="2"/>
      <c r="E25" s="2"/>
    </row>
    <row r="26" spans="1:5" ht="26.4" x14ac:dyDescent="0.3">
      <c r="A26" s="24" t="s">
        <v>17</v>
      </c>
      <c r="B26" s="33" t="s">
        <v>18</v>
      </c>
      <c r="C26" s="33" t="s">
        <v>19</v>
      </c>
      <c r="D26" s="51" t="s">
        <v>20</v>
      </c>
      <c r="E26" s="2"/>
    </row>
    <row r="27" spans="1:5" x14ac:dyDescent="0.3">
      <c r="A27" s="73"/>
      <c r="B27" s="70"/>
      <c r="C27" s="67"/>
      <c r="D27" s="72">
        <f>C27*B27</f>
        <v>0</v>
      </c>
      <c r="E27" s="74"/>
    </row>
    <row r="28" spans="1:5" x14ac:dyDescent="0.3">
      <c r="A28" s="73"/>
      <c r="B28" s="70"/>
      <c r="C28" s="67"/>
      <c r="D28" s="72">
        <f>C28*B28</f>
        <v>0</v>
      </c>
      <c r="E28" s="74"/>
    </row>
    <row r="29" spans="1:5" x14ac:dyDescent="0.3">
      <c r="A29" s="73"/>
      <c r="B29" s="70"/>
      <c r="C29" s="67"/>
      <c r="D29" s="72">
        <f t="shared" ref="D29:D33" si="2">C29*B29</f>
        <v>0</v>
      </c>
      <c r="E29" s="74"/>
    </row>
    <row r="30" spans="1:5" x14ac:dyDescent="0.3">
      <c r="A30" s="73"/>
      <c r="B30" s="70"/>
      <c r="C30" s="67"/>
      <c r="D30" s="72">
        <f t="shared" si="2"/>
        <v>0</v>
      </c>
      <c r="E30" s="74"/>
    </row>
    <row r="31" spans="1:5" x14ac:dyDescent="0.3">
      <c r="A31" s="73"/>
      <c r="B31" s="70"/>
      <c r="C31" s="67"/>
      <c r="D31" s="72">
        <f t="shared" si="2"/>
        <v>0</v>
      </c>
      <c r="E31" s="74"/>
    </row>
    <row r="32" spans="1:5" x14ac:dyDescent="0.3">
      <c r="A32" s="73"/>
      <c r="B32" s="70"/>
      <c r="C32" s="67"/>
      <c r="D32" s="72">
        <f t="shared" si="2"/>
        <v>0</v>
      </c>
      <c r="E32" s="74"/>
    </row>
    <row r="33" spans="1:7" x14ac:dyDescent="0.3">
      <c r="A33" s="73"/>
      <c r="B33" s="70"/>
      <c r="C33" s="67"/>
      <c r="D33" s="72">
        <f t="shared" si="2"/>
        <v>0</v>
      </c>
      <c r="E33" s="2"/>
    </row>
    <row r="34" spans="1:7" x14ac:dyDescent="0.3">
      <c r="A34" s="5"/>
      <c r="B34" s="2"/>
      <c r="C34" s="35" t="s">
        <v>21</v>
      </c>
      <c r="D34" s="45">
        <f>SUM(D27:D33)</f>
        <v>0</v>
      </c>
    </row>
    <row r="35" spans="1:7" x14ac:dyDescent="0.3">
      <c r="A35" s="23" t="s">
        <v>22</v>
      </c>
      <c r="B35" s="2"/>
      <c r="C35" s="2"/>
      <c r="D35" s="2"/>
    </row>
    <row r="36" spans="1:7" ht="26.4" x14ac:dyDescent="0.3">
      <c r="A36" s="31" t="s">
        <v>17</v>
      </c>
      <c r="B36" s="32" t="s">
        <v>18</v>
      </c>
      <c r="C36" s="29" t="s">
        <v>19</v>
      </c>
      <c r="D36" s="51" t="s">
        <v>20</v>
      </c>
    </row>
    <row r="37" spans="1:7" x14ac:dyDescent="0.3">
      <c r="A37" s="65" t="s">
        <v>23</v>
      </c>
      <c r="B37" s="66"/>
      <c r="C37" s="67"/>
      <c r="D37" s="68">
        <f>B37*C37</f>
        <v>0</v>
      </c>
    </row>
    <row r="38" spans="1:7" x14ac:dyDescent="0.3">
      <c r="A38" s="69" t="s">
        <v>78</v>
      </c>
      <c r="B38" s="70"/>
      <c r="C38" s="67"/>
      <c r="D38" s="68">
        <f>B38*C38</f>
        <v>0</v>
      </c>
    </row>
    <row r="39" spans="1:7" x14ac:dyDescent="0.3">
      <c r="A39" s="117"/>
      <c r="B39" s="2"/>
      <c r="C39" s="35" t="s">
        <v>24</v>
      </c>
      <c r="D39" s="45">
        <f>SUM(D37:D38)</f>
        <v>0</v>
      </c>
    </row>
    <row r="40" spans="1:7" x14ac:dyDescent="0.3">
      <c r="A40" s="6" t="s">
        <v>25</v>
      </c>
      <c r="B40" s="2"/>
      <c r="C40" s="2"/>
      <c r="D40" s="2"/>
    </row>
    <row r="41" spans="1:7" ht="26.4" x14ac:dyDescent="0.3">
      <c r="A41" s="24" t="s">
        <v>17</v>
      </c>
      <c r="B41" s="24" t="s">
        <v>26</v>
      </c>
      <c r="C41" s="24" t="s">
        <v>27</v>
      </c>
      <c r="D41" s="51" t="s">
        <v>20</v>
      </c>
    </row>
    <row r="42" spans="1:7" x14ac:dyDescent="0.3">
      <c r="A42" s="152" t="s">
        <v>28</v>
      </c>
      <c r="B42" s="76">
        <v>1</v>
      </c>
      <c r="C42" s="67">
        <f>'BASE MOI'!D32</f>
        <v>3600</v>
      </c>
      <c r="D42" s="77">
        <f>B42*C42</f>
        <v>3600</v>
      </c>
      <c r="E42" s="1"/>
      <c r="F42" s="1"/>
      <c r="G42" s="1"/>
    </row>
    <row r="43" spans="1:7" x14ac:dyDescent="0.3">
      <c r="A43" s="152" t="s">
        <v>48</v>
      </c>
      <c r="B43" s="76">
        <v>1</v>
      </c>
      <c r="C43" s="67">
        <f>'BASE MOI'!D39</f>
        <v>2575.4939999999997</v>
      </c>
      <c r="D43" s="77">
        <f t="shared" ref="D43:D51" si="3">B43*C43</f>
        <v>2575.4939999999997</v>
      </c>
      <c r="E43" s="1"/>
      <c r="F43" s="1"/>
      <c r="G43" s="1"/>
    </row>
    <row r="44" spans="1:7" x14ac:dyDescent="0.3">
      <c r="A44" s="152" t="s">
        <v>49</v>
      </c>
      <c r="B44" s="76">
        <v>4</v>
      </c>
      <c r="C44" s="67">
        <v>55</v>
      </c>
      <c r="D44" s="77">
        <f t="shared" si="3"/>
        <v>220</v>
      </c>
      <c r="E44" s="1"/>
      <c r="F44" s="1"/>
      <c r="G44" s="1"/>
    </row>
    <row r="45" spans="1:7" x14ac:dyDescent="0.3">
      <c r="A45" s="152" t="s">
        <v>57</v>
      </c>
      <c r="B45" s="76">
        <v>1</v>
      </c>
      <c r="C45" s="67">
        <f>'BASE MOI'!D46</f>
        <v>1264.9999999999998</v>
      </c>
      <c r="D45" s="77">
        <f t="shared" si="3"/>
        <v>1264.9999999999998</v>
      </c>
      <c r="E45" s="1"/>
      <c r="F45" s="1"/>
      <c r="G45" s="1"/>
    </row>
    <row r="46" spans="1:7" x14ac:dyDescent="0.3">
      <c r="A46" s="152" t="s">
        <v>58</v>
      </c>
      <c r="B46" s="76">
        <v>1</v>
      </c>
      <c r="C46" s="67">
        <f>'BASE MOI'!O53</f>
        <v>4289.2420000000002</v>
      </c>
      <c r="D46" s="77">
        <f t="shared" si="3"/>
        <v>4289.2420000000002</v>
      </c>
      <c r="E46" s="1"/>
      <c r="F46" s="1"/>
      <c r="G46" s="1"/>
    </row>
    <row r="47" spans="1:7" x14ac:dyDescent="0.3">
      <c r="A47" s="152" t="s">
        <v>50</v>
      </c>
      <c r="B47" s="76">
        <v>4</v>
      </c>
      <c r="C47" s="67">
        <v>592.92999999999995</v>
      </c>
      <c r="D47" s="77">
        <f t="shared" si="3"/>
        <v>2371.7199999999998</v>
      </c>
      <c r="E47" s="1"/>
      <c r="F47" s="1"/>
      <c r="G47" s="1"/>
    </row>
    <row r="48" spans="1:7" x14ac:dyDescent="0.3">
      <c r="A48" s="152" t="s">
        <v>51</v>
      </c>
      <c r="B48" s="76">
        <v>1</v>
      </c>
      <c r="C48" s="67">
        <f>'BASE MOI'!D60</f>
        <v>720</v>
      </c>
      <c r="D48" s="77">
        <f t="shared" si="3"/>
        <v>720</v>
      </c>
      <c r="E48" s="1"/>
      <c r="F48" s="1"/>
      <c r="G48" s="1"/>
    </row>
    <row r="49" spans="1:7" x14ac:dyDescent="0.3">
      <c r="A49" s="90" t="s">
        <v>79</v>
      </c>
      <c r="B49" s="76">
        <v>1</v>
      </c>
      <c r="C49" s="67">
        <f>'BASE MOI'!G68</f>
        <v>7101.2960000000003</v>
      </c>
      <c r="D49" s="77">
        <f t="shared" si="3"/>
        <v>7101.2960000000003</v>
      </c>
      <c r="E49" s="1"/>
      <c r="F49" s="1"/>
      <c r="G49" s="1"/>
    </row>
    <row r="50" spans="1:7" x14ac:dyDescent="0.3">
      <c r="A50" s="90" t="s">
        <v>60</v>
      </c>
      <c r="B50" s="76">
        <v>1</v>
      </c>
      <c r="C50" s="67">
        <v>0</v>
      </c>
      <c r="D50" s="77">
        <f t="shared" si="3"/>
        <v>0</v>
      </c>
      <c r="E50" s="1"/>
      <c r="F50" s="1"/>
      <c r="G50" s="1"/>
    </row>
    <row r="51" spans="1:7" x14ac:dyDescent="0.3">
      <c r="A51" s="90" t="s">
        <v>61</v>
      </c>
      <c r="B51" s="76">
        <v>1</v>
      </c>
      <c r="C51" s="67">
        <v>0</v>
      </c>
      <c r="D51" s="77">
        <f t="shared" si="3"/>
        <v>0</v>
      </c>
      <c r="E51" s="1"/>
      <c r="F51" s="1"/>
      <c r="G51" s="1"/>
    </row>
    <row r="52" spans="1:7" x14ac:dyDescent="0.3">
      <c r="A52" s="1"/>
      <c r="B52" s="36" t="s">
        <v>29</v>
      </c>
      <c r="C52" s="37"/>
      <c r="D52" s="45">
        <f>SUM(D42:D51)</f>
        <v>22142.752</v>
      </c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60" t="s">
        <v>30</v>
      </c>
      <c r="C54" s="61"/>
      <c r="D54" s="62"/>
      <c r="E54" s="176">
        <f>E24+D34+D39+D52</f>
        <v>93366.153599999991</v>
      </c>
      <c r="F54" s="1"/>
      <c r="G54" s="1"/>
    </row>
    <row r="55" spans="1:7" x14ac:dyDescent="0.3">
      <c r="A55" s="156" t="s">
        <v>31</v>
      </c>
      <c r="B55" s="121"/>
      <c r="C55" s="121"/>
      <c r="D55" s="121"/>
      <c r="E55" s="139"/>
      <c r="F55" s="1"/>
      <c r="G55" s="1"/>
    </row>
    <row r="56" spans="1:7" x14ac:dyDescent="0.3">
      <c r="A56" s="2"/>
      <c r="B56" s="2"/>
      <c r="C56" s="2"/>
      <c r="D56" s="2"/>
      <c r="E56" s="2"/>
      <c r="F56" s="2"/>
      <c r="G56" s="2"/>
    </row>
    <row r="57" spans="1:7" ht="39.6" x14ac:dyDescent="0.3">
      <c r="A57" s="33" t="s">
        <v>17</v>
      </c>
      <c r="B57" s="33" t="s">
        <v>32</v>
      </c>
      <c r="C57" s="33" t="s">
        <v>33</v>
      </c>
      <c r="D57" s="51" t="s">
        <v>20</v>
      </c>
      <c r="E57" s="2"/>
      <c r="F57" s="2"/>
      <c r="G57" s="2"/>
    </row>
    <row r="58" spans="1:7" x14ac:dyDescent="0.3">
      <c r="A58" s="75" t="s">
        <v>53</v>
      </c>
      <c r="B58" s="78">
        <v>0</v>
      </c>
      <c r="C58" s="79">
        <f>B58*E54</f>
        <v>0</v>
      </c>
      <c r="D58" s="79">
        <f>C58</f>
        <v>0</v>
      </c>
      <c r="E58" s="74"/>
      <c r="F58" s="74"/>
      <c r="G58" s="74"/>
    </row>
    <row r="59" spans="1:7" x14ac:dyDescent="0.3">
      <c r="A59" s="75" t="s">
        <v>54</v>
      </c>
      <c r="B59" s="80">
        <v>0</v>
      </c>
      <c r="C59" s="81">
        <f>B59*E54</f>
        <v>0</v>
      </c>
      <c r="D59" s="81">
        <f>C59</f>
        <v>0</v>
      </c>
      <c r="E59" s="74"/>
      <c r="F59" s="74"/>
      <c r="G59" s="74"/>
    </row>
    <row r="60" spans="1:7" x14ac:dyDescent="0.3">
      <c r="A60" s="82" t="s">
        <v>55</v>
      </c>
      <c r="B60" s="83">
        <v>0</v>
      </c>
      <c r="C60" s="84">
        <f>B60*E54</f>
        <v>0</v>
      </c>
      <c r="D60" s="81">
        <f>C60</f>
        <v>0</v>
      </c>
      <c r="E60" s="74"/>
      <c r="F60" s="74"/>
      <c r="G60" s="74"/>
    </row>
    <row r="61" spans="1:7" x14ac:dyDescent="0.3">
      <c r="A61" s="85"/>
      <c r="B61" s="86"/>
      <c r="C61" s="87">
        <v>0</v>
      </c>
      <c r="D61" s="87">
        <v>0</v>
      </c>
      <c r="E61" s="74"/>
      <c r="F61" s="74"/>
      <c r="G61" s="74"/>
    </row>
    <row r="62" spans="1:7" x14ac:dyDescent="0.3">
      <c r="A62" s="12"/>
      <c r="B62" s="12"/>
      <c r="C62" s="38" t="s">
        <v>34</v>
      </c>
      <c r="D62" s="45">
        <f>SUM(D58:D61)</f>
        <v>0</v>
      </c>
      <c r="E62" s="2"/>
      <c r="F62" s="2"/>
      <c r="G62" s="2"/>
    </row>
    <row r="63" spans="1:7" x14ac:dyDescent="0.3">
      <c r="A63" s="2"/>
      <c r="B63" s="2"/>
      <c r="C63" s="2"/>
      <c r="D63" s="2"/>
      <c r="E63" s="2"/>
      <c r="F63" s="2"/>
      <c r="G63" s="2"/>
    </row>
    <row r="64" spans="1:7" x14ac:dyDescent="0.3">
      <c r="A64" s="156" t="s">
        <v>35</v>
      </c>
      <c r="B64" s="139"/>
      <c r="C64" s="139"/>
      <c r="D64" s="139"/>
      <c r="E64" s="139"/>
      <c r="F64" s="2"/>
      <c r="G64" s="7"/>
    </row>
    <row r="65" spans="1:7" x14ac:dyDescent="0.3">
      <c r="A65" s="2"/>
      <c r="B65" s="2"/>
      <c r="C65" s="2"/>
      <c r="D65" s="2"/>
      <c r="E65" s="2"/>
      <c r="F65" s="2"/>
      <c r="G65" s="2"/>
    </row>
    <row r="66" spans="1:7" ht="26.4" x14ac:dyDescent="0.3">
      <c r="A66" s="33" t="s">
        <v>17</v>
      </c>
      <c r="B66" s="33" t="s">
        <v>36</v>
      </c>
      <c r="C66" s="33" t="s">
        <v>33</v>
      </c>
      <c r="D66" s="51" t="s">
        <v>20</v>
      </c>
      <c r="E66" s="2"/>
      <c r="F66" s="2"/>
      <c r="G66" s="2"/>
    </row>
    <row r="67" spans="1:7" x14ac:dyDescent="0.3">
      <c r="A67" s="91" t="s">
        <v>56</v>
      </c>
      <c r="B67" s="78">
        <v>0</v>
      </c>
      <c r="C67" s="79">
        <f>B67*E54</f>
        <v>0</v>
      </c>
      <c r="D67" s="79">
        <f>C67</f>
        <v>0</v>
      </c>
      <c r="E67" s="2"/>
      <c r="F67" s="2"/>
      <c r="G67" s="2"/>
    </row>
    <row r="68" spans="1:7" x14ac:dyDescent="0.3">
      <c r="A68" s="11"/>
      <c r="B68" s="30"/>
      <c r="C68" s="46">
        <v>0</v>
      </c>
      <c r="D68" s="46">
        <v>0</v>
      </c>
      <c r="E68" s="2"/>
      <c r="F68" s="2"/>
      <c r="G68" s="2"/>
    </row>
    <row r="69" spans="1:7" x14ac:dyDescent="0.3">
      <c r="A69" s="53"/>
      <c r="B69" s="34"/>
      <c r="C69" s="47">
        <v>0</v>
      </c>
      <c r="D69" s="47">
        <v>0</v>
      </c>
      <c r="E69" s="2"/>
      <c r="F69" s="2"/>
      <c r="G69" s="2"/>
    </row>
    <row r="70" spans="1:7" x14ac:dyDescent="0.3">
      <c r="A70" s="12"/>
      <c r="B70" s="36" t="s">
        <v>37</v>
      </c>
      <c r="C70" s="37"/>
      <c r="D70" s="45">
        <f>SUM(D67:D69)</f>
        <v>0</v>
      </c>
      <c r="E70" s="2"/>
      <c r="F70" s="2"/>
      <c r="G70" s="2"/>
    </row>
    <row r="71" spans="1:7" x14ac:dyDescent="0.3">
      <c r="A71" s="2"/>
      <c r="B71" s="2"/>
      <c r="C71" s="2"/>
      <c r="D71" s="2"/>
      <c r="E71" s="2"/>
      <c r="F71" s="2"/>
      <c r="G71" s="2"/>
    </row>
    <row r="72" spans="1:7" x14ac:dyDescent="0.3">
      <c r="A72" s="156" t="s">
        <v>38</v>
      </c>
      <c r="B72" s="121"/>
      <c r="C72" s="121"/>
      <c r="D72" s="121"/>
      <c r="E72" s="121"/>
      <c r="F72" s="7"/>
      <c r="G72" s="7"/>
    </row>
    <row r="73" spans="1:7" x14ac:dyDescent="0.3">
      <c r="A73" s="2"/>
      <c r="B73" s="2"/>
      <c r="C73" s="2"/>
      <c r="D73" s="2"/>
      <c r="E73" s="2"/>
      <c r="F73" s="2"/>
      <c r="G73" s="2"/>
    </row>
    <row r="74" spans="1:7" x14ac:dyDescent="0.3">
      <c r="A74" s="128" t="s">
        <v>39</v>
      </c>
      <c r="B74" s="129"/>
      <c r="C74" s="129"/>
      <c r="D74" s="127"/>
      <c r="E74" s="126">
        <f>E54+D62+D70</f>
        <v>93366.153599999991</v>
      </c>
      <c r="F74" s="2"/>
      <c r="G74" s="2"/>
    </row>
    <row r="75" spans="1:7" x14ac:dyDescent="0.3">
      <c r="A75" s="2"/>
      <c r="B75" s="2"/>
      <c r="C75" s="2"/>
      <c r="D75" s="2"/>
      <c r="E75" s="2"/>
      <c r="F75" s="2"/>
      <c r="G75" s="2"/>
    </row>
    <row r="76" spans="1:7" x14ac:dyDescent="0.3">
      <c r="A76" s="156" t="s">
        <v>40</v>
      </c>
      <c r="B76" s="121"/>
      <c r="C76" s="121"/>
      <c r="D76" s="121"/>
      <c r="E76" s="125"/>
      <c r="F76" s="7"/>
      <c r="G76" s="7"/>
    </row>
    <row r="77" spans="1:7" x14ac:dyDescent="0.3">
      <c r="A77" s="2"/>
      <c r="B77" s="2"/>
      <c r="C77" s="2"/>
      <c r="D77" s="2"/>
      <c r="E77" s="2"/>
      <c r="F77" s="2"/>
      <c r="G77" s="2"/>
    </row>
    <row r="78" spans="1:7" x14ac:dyDescent="0.3">
      <c r="A78" s="33" t="s">
        <v>17</v>
      </c>
      <c r="B78" s="33" t="s">
        <v>36</v>
      </c>
      <c r="C78" s="2"/>
      <c r="D78" s="2"/>
      <c r="E78" s="2"/>
      <c r="F78" s="2"/>
      <c r="G78" s="2"/>
    </row>
    <row r="79" spans="1:7" x14ac:dyDescent="0.3">
      <c r="A79" s="14" t="s">
        <v>41</v>
      </c>
      <c r="B79" s="78">
        <v>0</v>
      </c>
      <c r="C79" s="2"/>
      <c r="D79" s="2"/>
      <c r="E79" s="2"/>
      <c r="F79" s="2"/>
      <c r="G79" s="2"/>
    </row>
    <row r="80" spans="1:7" x14ac:dyDescent="0.3">
      <c r="A80" s="15" t="s">
        <v>42</v>
      </c>
      <c r="B80" s="80">
        <v>0</v>
      </c>
      <c r="C80" s="2"/>
      <c r="D80" s="2"/>
      <c r="E80" s="2"/>
      <c r="F80" s="2"/>
      <c r="G80" s="2"/>
    </row>
    <row r="81" spans="1:8" x14ac:dyDescent="0.3">
      <c r="A81" s="4" t="s">
        <v>43</v>
      </c>
      <c r="B81" s="88">
        <v>0</v>
      </c>
      <c r="C81" s="2"/>
      <c r="D81" s="2"/>
      <c r="E81" s="2"/>
      <c r="F81" s="2"/>
      <c r="G81" s="2"/>
    </row>
    <row r="82" spans="1:8" x14ac:dyDescent="0.3">
      <c r="A82" s="2"/>
      <c r="B82" s="13"/>
      <c r="C82" s="2"/>
      <c r="D82" s="2"/>
      <c r="E82" s="2"/>
      <c r="F82" s="2"/>
      <c r="G82" s="2"/>
    </row>
    <row r="83" spans="1:8" ht="27.75" customHeight="1" x14ac:dyDescent="0.3">
      <c r="A83" s="123" t="s">
        <v>44</v>
      </c>
      <c r="B83" s="124">
        <v>0</v>
      </c>
      <c r="C83" s="2"/>
      <c r="D83" s="2"/>
      <c r="E83" s="2"/>
      <c r="F83" s="2"/>
      <c r="G83" s="2"/>
    </row>
    <row r="84" spans="1:8" x14ac:dyDescent="0.3">
      <c r="A84" s="2"/>
      <c r="B84" s="2"/>
      <c r="C84" s="2"/>
      <c r="D84" s="2"/>
      <c r="E84" s="2"/>
      <c r="F84" s="2"/>
      <c r="G84" s="2"/>
    </row>
    <row r="85" spans="1:8" x14ac:dyDescent="0.3">
      <c r="A85" s="156" t="s">
        <v>45</v>
      </c>
      <c r="B85" s="121"/>
      <c r="C85" s="121"/>
      <c r="D85" s="121"/>
      <c r="E85" s="122">
        <f>E74*1.0865</f>
        <v>101442.32588639999</v>
      </c>
      <c r="F85" s="7"/>
      <c r="G85" s="7"/>
      <c r="H85" s="116"/>
    </row>
    <row r="86" spans="1:8" x14ac:dyDescent="0.3">
      <c r="A86" s="92"/>
      <c r="B86" s="93"/>
      <c r="C86" s="93"/>
      <c r="D86" s="93"/>
      <c r="E86" s="102"/>
      <c r="F86" s="7"/>
      <c r="G86" s="7"/>
    </row>
    <row r="87" spans="1:8" x14ac:dyDescent="0.3">
      <c r="A87" s="156" t="s">
        <v>62</v>
      </c>
      <c r="B87" s="121"/>
      <c r="C87" s="121"/>
      <c r="D87" s="121"/>
      <c r="E87" s="121"/>
    </row>
    <row r="88" spans="1:8" x14ac:dyDescent="0.3">
      <c r="A88" s="92"/>
      <c r="B88" s="93"/>
      <c r="C88" s="93"/>
      <c r="D88" s="93"/>
      <c r="E88" s="93"/>
      <c r="F88" s="94"/>
    </row>
    <row r="89" spans="1:8" ht="26.4" x14ac:dyDescent="0.3">
      <c r="A89" s="33" t="s">
        <v>17</v>
      </c>
      <c r="B89" s="33" t="s">
        <v>26</v>
      </c>
      <c r="C89" s="33" t="s">
        <v>27</v>
      </c>
      <c r="D89" s="51" t="s">
        <v>20</v>
      </c>
      <c r="E89" s="95"/>
    </row>
    <row r="90" spans="1:8" ht="15.6" x14ac:dyDescent="0.3">
      <c r="A90" s="96" t="s">
        <v>63</v>
      </c>
      <c r="B90" s="76" t="s">
        <v>52</v>
      </c>
      <c r="C90" s="67"/>
      <c r="D90" s="81">
        <f>C90</f>
        <v>0</v>
      </c>
      <c r="E90" s="95"/>
    </row>
    <row r="91" spans="1:8" ht="15.6" x14ac:dyDescent="0.3">
      <c r="A91" s="90"/>
      <c r="B91" s="76"/>
      <c r="C91" s="67"/>
      <c r="D91" s="77">
        <f>C91</f>
        <v>0</v>
      </c>
      <c r="E91" s="95"/>
    </row>
    <row r="92" spans="1:8" ht="15.6" x14ac:dyDescent="0.3">
      <c r="A92" s="90"/>
      <c r="B92" s="76"/>
      <c r="C92" s="67"/>
      <c r="D92" s="77"/>
      <c r="E92" s="95"/>
    </row>
    <row r="93" spans="1:8" x14ac:dyDescent="0.3">
      <c r="B93" s="74"/>
      <c r="C93" s="74"/>
      <c r="D93" s="97">
        <f>SUM(D90:D92)</f>
        <v>0</v>
      </c>
      <c r="E93" s="74"/>
    </row>
    <row r="94" spans="1:8" x14ac:dyDescent="0.3">
      <c r="A94" s="156" t="s">
        <v>64</v>
      </c>
      <c r="B94" s="121"/>
      <c r="C94" s="121"/>
      <c r="D94" s="121"/>
      <c r="E94" s="121"/>
    </row>
    <row r="95" spans="1:8" x14ac:dyDescent="0.3">
      <c r="A95" s="74"/>
      <c r="B95" s="74"/>
      <c r="C95" s="74"/>
      <c r="D95" s="74"/>
      <c r="E95" s="74"/>
    </row>
    <row r="96" spans="1:8" ht="39.6" x14ac:dyDescent="0.3">
      <c r="A96" s="33" t="s">
        <v>17</v>
      </c>
      <c r="B96" s="33" t="s">
        <v>32</v>
      </c>
      <c r="C96" s="33" t="s">
        <v>33</v>
      </c>
      <c r="D96" s="51" t="s">
        <v>20</v>
      </c>
      <c r="E96" s="74"/>
    </row>
    <row r="97" spans="1:5" x14ac:dyDescent="0.3">
      <c r="A97" s="75" t="s">
        <v>53</v>
      </c>
      <c r="B97" s="78">
        <v>0.08</v>
      </c>
      <c r="C97" s="79">
        <f>B97*D93</f>
        <v>0</v>
      </c>
      <c r="D97" s="79">
        <f>C97</f>
        <v>0</v>
      </c>
      <c r="E97" s="74"/>
    </row>
    <row r="98" spans="1:5" x14ac:dyDescent="0.3">
      <c r="A98" s="75" t="s">
        <v>54</v>
      </c>
      <c r="B98" s="80">
        <v>0.01</v>
      </c>
      <c r="C98" s="81">
        <f>B98*D93</f>
        <v>0</v>
      </c>
      <c r="D98" s="81">
        <f>C98</f>
        <v>0</v>
      </c>
      <c r="E98" s="74"/>
    </row>
    <row r="99" spans="1:5" x14ac:dyDescent="0.3">
      <c r="A99" s="85"/>
      <c r="B99" s="86"/>
      <c r="C99" s="87">
        <v>0</v>
      </c>
      <c r="D99" s="87">
        <v>0</v>
      </c>
      <c r="E99" s="74"/>
    </row>
    <row r="100" spans="1:5" x14ac:dyDescent="0.3">
      <c r="A100" s="12"/>
      <c r="B100" s="12"/>
      <c r="C100" s="38" t="s">
        <v>34</v>
      </c>
      <c r="D100" s="45">
        <f>SUM(D97:D99)</f>
        <v>0</v>
      </c>
      <c r="E100" s="74"/>
    </row>
    <row r="101" spans="1:5" x14ac:dyDescent="0.3">
      <c r="A101" s="74"/>
      <c r="B101" s="74"/>
      <c r="C101" s="74"/>
      <c r="D101" s="74"/>
      <c r="E101" s="74"/>
    </row>
    <row r="102" spans="1:5" x14ac:dyDescent="0.3">
      <c r="A102" s="156" t="s">
        <v>65</v>
      </c>
      <c r="B102" s="121"/>
      <c r="C102" s="121"/>
      <c r="D102" s="121"/>
      <c r="E102" s="121"/>
    </row>
    <row r="103" spans="1:5" x14ac:dyDescent="0.3">
      <c r="A103" s="74"/>
      <c r="B103" s="74"/>
      <c r="C103" s="74"/>
      <c r="D103" s="74"/>
      <c r="E103" s="74"/>
    </row>
    <row r="104" spans="1:5" ht="26.4" x14ac:dyDescent="0.3">
      <c r="A104" s="33" t="s">
        <v>17</v>
      </c>
      <c r="B104" s="33" t="s">
        <v>36</v>
      </c>
      <c r="C104" s="33" t="s">
        <v>33</v>
      </c>
      <c r="D104" s="51" t="s">
        <v>20</v>
      </c>
      <c r="E104" s="74"/>
    </row>
    <row r="105" spans="1:5" x14ac:dyDescent="0.3">
      <c r="A105" s="91" t="s">
        <v>56</v>
      </c>
      <c r="B105" s="78">
        <v>7.6799999999999993E-2</v>
      </c>
      <c r="C105" s="79">
        <f>B105*(D93+D100)</f>
        <v>0</v>
      </c>
      <c r="D105" s="79">
        <f>C105</f>
        <v>0</v>
      </c>
      <c r="E105" s="74"/>
    </row>
    <row r="106" spans="1:5" x14ac:dyDescent="0.3">
      <c r="A106" s="75"/>
      <c r="B106" s="80"/>
      <c r="C106" s="81">
        <v>0</v>
      </c>
      <c r="D106" s="81">
        <v>0</v>
      </c>
      <c r="E106" s="74"/>
    </row>
    <row r="107" spans="1:5" x14ac:dyDescent="0.3">
      <c r="A107" s="103"/>
      <c r="B107" s="88"/>
      <c r="C107" s="104">
        <v>0</v>
      </c>
      <c r="D107" s="104">
        <v>0</v>
      </c>
      <c r="E107" s="74"/>
    </row>
    <row r="108" spans="1:5" x14ac:dyDescent="0.3">
      <c r="A108" s="12"/>
      <c r="B108" s="36" t="s">
        <v>37</v>
      </c>
      <c r="C108" s="105"/>
      <c r="D108" s="45">
        <f>SUM(D105:D107)</f>
        <v>0</v>
      </c>
      <c r="E108" s="74"/>
    </row>
    <row r="109" spans="1:5" x14ac:dyDescent="0.3">
      <c r="A109" s="74"/>
      <c r="B109" s="74"/>
      <c r="C109" s="74"/>
      <c r="D109" s="74"/>
      <c r="E109" s="74"/>
    </row>
    <row r="110" spans="1:5" x14ac:dyDescent="0.3">
      <c r="A110" s="156" t="s">
        <v>66</v>
      </c>
      <c r="B110" s="121"/>
      <c r="C110" s="121"/>
      <c r="D110" s="121"/>
      <c r="E110" s="125"/>
    </row>
    <row r="111" spans="1:5" x14ac:dyDescent="0.3">
      <c r="A111" s="74"/>
      <c r="B111" s="74"/>
      <c r="C111" s="74"/>
      <c r="D111" s="74"/>
      <c r="E111" s="74"/>
    </row>
    <row r="112" spans="1:5" x14ac:dyDescent="0.3">
      <c r="A112" s="33" t="s">
        <v>17</v>
      </c>
      <c r="B112" s="33" t="s">
        <v>36</v>
      </c>
      <c r="C112" s="74"/>
      <c r="D112" s="74"/>
      <c r="E112" s="74"/>
    </row>
    <row r="113" spans="1:6" x14ac:dyDescent="0.3">
      <c r="A113" s="98" t="s">
        <v>41</v>
      </c>
      <c r="B113" s="78">
        <v>0.05</v>
      </c>
      <c r="C113" s="74"/>
      <c r="D113" s="74"/>
      <c r="E113" s="74"/>
    </row>
    <row r="114" spans="1:6" x14ac:dyDescent="0.3">
      <c r="A114" s="71" t="s">
        <v>42</v>
      </c>
      <c r="B114" s="80">
        <v>6.4999999999999997E-3</v>
      </c>
      <c r="C114" s="74"/>
      <c r="D114" s="74"/>
      <c r="E114" s="99"/>
    </row>
    <row r="115" spans="1:6" x14ac:dyDescent="0.3">
      <c r="A115" s="106" t="s">
        <v>43</v>
      </c>
      <c r="B115" s="88">
        <v>0.03</v>
      </c>
      <c r="C115" s="74"/>
      <c r="D115" s="74"/>
      <c r="E115" s="74"/>
    </row>
    <row r="116" spans="1:6" x14ac:dyDescent="0.3">
      <c r="A116" s="74"/>
      <c r="B116" s="100"/>
      <c r="C116" s="74"/>
      <c r="D116" s="74"/>
      <c r="E116" s="74"/>
    </row>
    <row r="117" spans="1:6" ht="27.75" customHeight="1" x14ac:dyDescent="0.3">
      <c r="A117" s="123" t="s">
        <v>44</v>
      </c>
      <c r="B117" s="124">
        <f>SUM(B113:B115)</f>
        <v>8.6499999999999994E-2</v>
      </c>
      <c r="C117" s="74"/>
      <c r="D117" s="74"/>
      <c r="E117" s="101"/>
    </row>
    <row r="118" spans="1:6" x14ac:dyDescent="0.3">
      <c r="A118" s="74"/>
      <c r="B118" s="74"/>
      <c r="C118" s="74"/>
      <c r="D118" s="74"/>
      <c r="E118" s="74"/>
    </row>
    <row r="119" spans="1:6" x14ac:dyDescent="0.3">
      <c r="A119" s="156" t="s">
        <v>67</v>
      </c>
      <c r="B119" s="121"/>
      <c r="C119" s="121"/>
      <c r="D119" s="121"/>
      <c r="E119" s="122">
        <f>(D93+D100+D108)*1.0865</f>
        <v>0</v>
      </c>
    </row>
    <row r="120" spans="1:6" x14ac:dyDescent="0.3">
      <c r="A120" s="59"/>
      <c r="B120" s="74"/>
      <c r="C120" s="74"/>
      <c r="D120" s="74"/>
      <c r="E120" s="74"/>
    </row>
    <row r="121" spans="1:6" x14ac:dyDescent="0.3">
      <c r="A121" s="156" t="s">
        <v>68</v>
      </c>
      <c r="B121" s="121"/>
      <c r="C121" s="121"/>
      <c r="D121" s="121"/>
      <c r="E121" s="121"/>
    </row>
    <row r="122" spans="1:6" x14ac:dyDescent="0.3">
      <c r="A122" s="92"/>
      <c r="B122" s="93"/>
      <c r="C122" s="93"/>
      <c r="D122" s="93"/>
      <c r="E122" s="93"/>
      <c r="F122" s="94"/>
    </row>
    <row r="123" spans="1:6" ht="26.4" x14ac:dyDescent="0.3">
      <c r="A123" s="33" t="s">
        <v>17</v>
      </c>
      <c r="B123" s="33" t="s">
        <v>26</v>
      </c>
      <c r="C123" s="33" t="s">
        <v>27</v>
      </c>
      <c r="D123" s="51" t="s">
        <v>20</v>
      </c>
      <c r="E123" s="95"/>
    </row>
    <row r="124" spans="1:6" ht="15.6" x14ac:dyDescent="0.3">
      <c r="A124" s="177" t="s">
        <v>59</v>
      </c>
      <c r="B124" s="76" t="s">
        <v>52</v>
      </c>
      <c r="C124" s="67">
        <f>'BASE MOI'!D76</f>
        <v>11156.86</v>
      </c>
      <c r="D124" s="81">
        <f>C124</f>
        <v>11156.86</v>
      </c>
      <c r="E124" s="95"/>
    </row>
    <row r="125" spans="1:6" ht="15.6" x14ac:dyDescent="0.3">
      <c r="A125" s="90"/>
      <c r="B125" s="76"/>
      <c r="C125" s="67"/>
      <c r="D125" s="77"/>
      <c r="E125" s="95"/>
    </row>
    <row r="126" spans="1:6" ht="15.6" x14ac:dyDescent="0.3">
      <c r="A126" s="90"/>
      <c r="B126" s="76"/>
      <c r="C126" s="67"/>
      <c r="D126" s="77"/>
      <c r="E126" s="95"/>
    </row>
    <row r="127" spans="1:6" x14ac:dyDescent="0.3">
      <c r="B127" s="74"/>
      <c r="C127" s="74"/>
      <c r="D127" s="97">
        <f>SUM(D124:D126)</f>
        <v>11156.86</v>
      </c>
      <c r="E127" s="74"/>
    </row>
    <row r="128" spans="1:6" x14ac:dyDescent="0.3">
      <c r="A128" s="74"/>
      <c r="B128" s="74"/>
      <c r="C128" s="74"/>
      <c r="D128" s="74"/>
      <c r="E128" s="74"/>
    </row>
    <row r="129" spans="1:5" x14ac:dyDescent="0.3">
      <c r="A129" s="156" t="s">
        <v>69</v>
      </c>
      <c r="B129" s="121"/>
      <c r="C129" s="121"/>
      <c r="D129" s="121"/>
      <c r="E129" s="121"/>
    </row>
    <row r="130" spans="1:5" x14ac:dyDescent="0.3">
      <c r="A130" s="74"/>
      <c r="B130" s="74"/>
      <c r="C130" s="74"/>
      <c r="D130" s="74"/>
      <c r="E130" s="74"/>
    </row>
    <row r="131" spans="1:5" ht="26.4" x14ac:dyDescent="0.3">
      <c r="A131" s="33" t="s">
        <v>17</v>
      </c>
      <c r="B131" s="33" t="s">
        <v>36</v>
      </c>
      <c r="C131" s="33" t="s">
        <v>33</v>
      </c>
      <c r="D131" s="51" t="s">
        <v>20</v>
      </c>
      <c r="E131" s="74"/>
    </row>
    <row r="132" spans="1:5" x14ac:dyDescent="0.3">
      <c r="A132" s="91" t="s">
        <v>56</v>
      </c>
      <c r="B132" s="78">
        <v>0</v>
      </c>
      <c r="C132" s="79">
        <f>B132*D127</f>
        <v>0</v>
      </c>
      <c r="D132" s="79">
        <f>C132</f>
        <v>0</v>
      </c>
      <c r="E132" s="74"/>
    </row>
    <row r="133" spans="1:5" x14ac:dyDescent="0.3">
      <c r="A133" s="75"/>
      <c r="B133" s="80"/>
      <c r="C133" s="81">
        <v>0</v>
      </c>
      <c r="D133" s="81">
        <v>0</v>
      </c>
      <c r="E133" s="74"/>
    </row>
    <row r="134" spans="1:5" x14ac:dyDescent="0.3">
      <c r="A134" s="103"/>
      <c r="B134" s="88"/>
      <c r="C134" s="104">
        <v>0</v>
      </c>
      <c r="D134" s="104">
        <v>0</v>
      </c>
      <c r="E134" s="74"/>
    </row>
    <row r="135" spans="1:5" x14ac:dyDescent="0.3">
      <c r="A135" s="12"/>
      <c r="B135" s="36" t="s">
        <v>37</v>
      </c>
      <c r="C135" s="105"/>
      <c r="D135" s="45">
        <f>SUM(D132:D134)</f>
        <v>0</v>
      </c>
      <c r="E135" s="74"/>
    </row>
    <row r="136" spans="1:5" x14ac:dyDescent="0.3">
      <c r="A136" s="74"/>
      <c r="B136" s="74"/>
      <c r="C136" s="74"/>
      <c r="D136" s="74"/>
      <c r="E136" s="74"/>
    </row>
    <row r="137" spans="1:5" x14ac:dyDescent="0.3">
      <c r="A137" s="156" t="s">
        <v>70</v>
      </c>
      <c r="B137" s="121"/>
      <c r="C137" s="121"/>
      <c r="D137" s="121"/>
      <c r="E137" s="125"/>
    </row>
    <row r="138" spans="1:5" x14ac:dyDescent="0.3">
      <c r="A138" s="74"/>
      <c r="B138" s="74"/>
      <c r="C138" s="74"/>
      <c r="D138" s="74"/>
      <c r="E138" s="74"/>
    </row>
    <row r="139" spans="1:5" x14ac:dyDescent="0.3">
      <c r="A139" s="33" t="s">
        <v>17</v>
      </c>
      <c r="B139" s="33" t="s">
        <v>36</v>
      </c>
      <c r="C139" s="74"/>
      <c r="D139" s="74"/>
      <c r="E139" s="74"/>
    </row>
    <row r="140" spans="1:5" x14ac:dyDescent="0.3">
      <c r="A140" s="98" t="s">
        <v>41</v>
      </c>
      <c r="B140" s="78">
        <v>0</v>
      </c>
      <c r="C140" s="74"/>
      <c r="D140" s="74"/>
      <c r="E140" s="74"/>
    </row>
    <row r="141" spans="1:5" x14ac:dyDescent="0.3">
      <c r="A141" s="71" t="s">
        <v>42</v>
      </c>
      <c r="B141" s="80">
        <v>0</v>
      </c>
      <c r="C141" s="74"/>
      <c r="D141" s="74"/>
      <c r="E141" s="99"/>
    </row>
    <row r="142" spans="1:5" x14ac:dyDescent="0.3">
      <c r="A142" s="106" t="s">
        <v>43</v>
      </c>
      <c r="B142" s="88">
        <v>0</v>
      </c>
      <c r="C142" s="74"/>
      <c r="D142" s="74"/>
      <c r="E142" s="74"/>
    </row>
    <row r="143" spans="1:5" x14ac:dyDescent="0.3">
      <c r="A143" s="74"/>
      <c r="B143" s="100"/>
      <c r="C143" s="74"/>
      <c r="D143" s="74"/>
      <c r="E143" s="74"/>
    </row>
    <row r="144" spans="1:5" ht="27.75" customHeight="1" x14ac:dyDescent="0.3">
      <c r="A144" s="123" t="s">
        <v>44</v>
      </c>
      <c r="B144" s="124">
        <f>SUM(B140:B142)</f>
        <v>0</v>
      </c>
      <c r="C144" s="74"/>
      <c r="D144" s="74"/>
      <c r="E144" s="101"/>
    </row>
    <row r="145" spans="1:7" x14ac:dyDescent="0.3">
      <c r="A145" s="74"/>
      <c r="B145" s="74"/>
      <c r="C145" s="74"/>
      <c r="D145" s="74"/>
      <c r="E145" s="74"/>
    </row>
    <row r="146" spans="1:7" x14ac:dyDescent="0.3">
      <c r="A146" s="156" t="s">
        <v>71</v>
      </c>
      <c r="B146" s="121"/>
      <c r="C146" s="121"/>
      <c r="D146" s="121"/>
      <c r="E146" s="122">
        <f>(D127+D135)*1.0865</f>
        <v>12121.928390000001</v>
      </c>
    </row>
    <row r="147" spans="1:7" x14ac:dyDescent="0.3">
      <c r="A147" s="59"/>
      <c r="B147" s="74"/>
      <c r="C147" s="74"/>
      <c r="D147" s="74"/>
      <c r="E147" s="74"/>
    </row>
    <row r="148" spans="1:7" x14ac:dyDescent="0.3">
      <c r="A148" s="128" t="s">
        <v>47</v>
      </c>
      <c r="B148" s="130"/>
      <c r="C148" s="130"/>
      <c r="D148" s="131"/>
      <c r="E148" s="132">
        <f>E146+E119+E85</f>
        <v>113564.2542764</v>
      </c>
    </row>
    <row r="149" spans="1:7" x14ac:dyDescent="0.3">
      <c r="A149" s="3"/>
      <c r="B149" s="2"/>
      <c r="C149" s="2"/>
      <c r="D149" s="2"/>
      <c r="E149" s="2"/>
      <c r="F149" s="2"/>
      <c r="G149" s="2"/>
    </row>
    <row r="150" spans="1:7" x14ac:dyDescent="0.3">
      <c r="A150" s="3"/>
      <c r="B150" s="2"/>
      <c r="C150" s="2"/>
      <c r="D150" s="2"/>
      <c r="E150" s="2"/>
      <c r="F150" s="2"/>
      <c r="G150" s="2"/>
    </row>
    <row r="152" spans="1:7" x14ac:dyDescent="0.3">
      <c r="D152" s="154" t="s">
        <v>114</v>
      </c>
      <c r="E152" s="154" t="s">
        <v>115</v>
      </c>
    </row>
    <row r="153" spans="1:7" x14ac:dyDescent="0.3">
      <c r="D153" s="154">
        <f>8.8*22</f>
        <v>193.60000000000002</v>
      </c>
      <c r="E153" s="155">
        <f>E148/D153</f>
        <v>586.59222250206608</v>
      </c>
    </row>
  </sheetData>
  <mergeCells count="2">
    <mergeCell ref="A2:E2"/>
    <mergeCell ref="A4:E4"/>
  </mergeCells>
  <pageMargins left="0.511811024" right="0.511811024" top="0.78740157499999996" bottom="0.78740157499999996" header="0.31496062000000002" footer="0.31496062000000002"/>
  <pageSetup paperSize="9" scale="56" orientation="portrait" r:id="rId1"/>
  <rowBreaks count="2" manualBreakCount="2">
    <brk id="39" max="16383" man="1"/>
    <brk id="1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5D5F-BCCE-44F4-870F-C9E31804F457}">
  <dimension ref="A1:Q76"/>
  <sheetViews>
    <sheetView showGridLines="0" zoomScale="90" zoomScaleNormal="90" zoomScaleSheetLayoutView="100" workbookViewId="0">
      <selection activeCell="D58" sqref="D58"/>
    </sheetView>
  </sheetViews>
  <sheetFormatPr defaultColWidth="7.88671875" defaultRowHeight="15" x14ac:dyDescent="0.25"/>
  <cols>
    <col min="1" max="1" width="29.33203125" style="107" customWidth="1"/>
    <col min="2" max="2" width="12.109375" style="107" customWidth="1"/>
    <col min="3" max="3" width="16" style="107" customWidth="1"/>
    <col min="4" max="4" width="13.6640625" style="107" customWidth="1"/>
    <col min="5" max="5" width="15.5546875" style="107" customWidth="1"/>
    <col min="6" max="6" width="16.88671875" style="107" customWidth="1"/>
    <col min="7" max="7" width="15.109375" style="107" customWidth="1"/>
    <col min="8" max="8" width="13.6640625" style="107" customWidth="1"/>
    <col min="9" max="9" width="17" style="107" customWidth="1"/>
    <col min="10" max="10" width="15.44140625" style="107" customWidth="1"/>
    <col min="11" max="11" width="22.44140625" style="107" bestFit="1" customWidth="1"/>
    <col min="12" max="12" width="19.5546875" style="107" bestFit="1" customWidth="1"/>
    <col min="13" max="13" width="14.109375" style="107" customWidth="1"/>
    <col min="14" max="14" width="27.21875" style="107" bestFit="1" customWidth="1"/>
    <col min="15" max="15" width="18.109375" style="107" bestFit="1" customWidth="1"/>
    <col min="16" max="16" width="21.6640625" style="107" bestFit="1" customWidth="1"/>
    <col min="17" max="17" width="20.44140625" style="107" customWidth="1"/>
    <col min="18" max="253" width="7.88671875" style="107"/>
    <col min="254" max="254" width="29.33203125" style="107" customWidth="1"/>
    <col min="255" max="255" width="14.44140625" style="107" customWidth="1"/>
    <col min="256" max="256" width="16" style="107" customWidth="1"/>
    <col min="257" max="258" width="13.6640625" style="107" customWidth="1"/>
    <col min="259" max="259" width="16.88671875" style="107" customWidth="1"/>
    <col min="260" max="260" width="15.109375" style="107" customWidth="1"/>
    <col min="261" max="261" width="13.6640625" style="107" customWidth="1"/>
    <col min="262" max="262" width="17" style="107" customWidth="1"/>
    <col min="263" max="263" width="13.109375" style="107" bestFit="1" customWidth="1"/>
    <col min="264" max="264" width="7.88671875" style="107"/>
    <col min="265" max="265" width="14.33203125" style="107" bestFit="1" customWidth="1"/>
    <col min="266" max="266" width="16.44140625" style="107" bestFit="1" customWidth="1"/>
    <col min="267" max="509" width="7.88671875" style="107"/>
    <col min="510" max="510" width="29.33203125" style="107" customWidth="1"/>
    <col min="511" max="511" width="14.44140625" style="107" customWidth="1"/>
    <col min="512" max="512" width="16" style="107" customWidth="1"/>
    <col min="513" max="514" width="13.6640625" style="107" customWidth="1"/>
    <col min="515" max="515" width="16.88671875" style="107" customWidth="1"/>
    <col min="516" max="516" width="15.109375" style="107" customWidth="1"/>
    <col min="517" max="517" width="13.6640625" style="107" customWidth="1"/>
    <col min="518" max="518" width="17" style="107" customWidth="1"/>
    <col min="519" max="519" width="13.109375" style="107" bestFit="1" customWidth="1"/>
    <col min="520" max="520" width="7.88671875" style="107"/>
    <col min="521" max="521" width="14.33203125" style="107" bestFit="1" customWidth="1"/>
    <col min="522" max="522" width="16.44140625" style="107" bestFit="1" customWidth="1"/>
    <col min="523" max="765" width="7.88671875" style="107"/>
    <col min="766" max="766" width="29.33203125" style="107" customWidth="1"/>
    <col min="767" max="767" width="14.44140625" style="107" customWidth="1"/>
    <col min="768" max="768" width="16" style="107" customWidth="1"/>
    <col min="769" max="770" width="13.6640625" style="107" customWidth="1"/>
    <col min="771" max="771" width="16.88671875" style="107" customWidth="1"/>
    <col min="772" max="772" width="15.109375" style="107" customWidth="1"/>
    <col min="773" max="773" width="13.6640625" style="107" customWidth="1"/>
    <col min="774" max="774" width="17" style="107" customWidth="1"/>
    <col min="775" max="775" width="13.109375" style="107" bestFit="1" customWidth="1"/>
    <col min="776" max="776" width="7.88671875" style="107"/>
    <col min="777" max="777" width="14.33203125" style="107" bestFit="1" customWidth="1"/>
    <col min="778" max="778" width="16.44140625" style="107" bestFit="1" customWidth="1"/>
    <col min="779" max="1021" width="7.88671875" style="107"/>
    <col min="1022" max="1022" width="29.33203125" style="107" customWidth="1"/>
    <col min="1023" max="1023" width="14.44140625" style="107" customWidth="1"/>
    <col min="1024" max="1024" width="16" style="107" customWidth="1"/>
    <col min="1025" max="1026" width="13.6640625" style="107" customWidth="1"/>
    <col min="1027" max="1027" width="16.88671875" style="107" customWidth="1"/>
    <col min="1028" max="1028" width="15.109375" style="107" customWidth="1"/>
    <col min="1029" max="1029" width="13.6640625" style="107" customWidth="1"/>
    <col min="1030" max="1030" width="17" style="107" customWidth="1"/>
    <col min="1031" max="1031" width="13.109375" style="107" bestFit="1" customWidth="1"/>
    <col min="1032" max="1032" width="7.88671875" style="107"/>
    <col min="1033" max="1033" width="14.33203125" style="107" bestFit="1" customWidth="1"/>
    <col min="1034" max="1034" width="16.44140625" style="107" bestFit="1" customWidth="1"/>
    <col min="1035" max="1277" width="7.88671875" style="107"/>
    <col min="1278" max="1278" width="29.33203125" style="107" customWidth="1"/>
    <col min="1279" max="1279" width="14.44140625" style="107" customWidth="1"/>
    <col min="1280" max="1280" width="16" style="107" customWidth="1"/>
    <col min="1281" max="1282" width="13.6640625" style="107" customWidth="1"/>
    <col min="1283" max="1283" width="16.88671875" style="107" customWidth="1"/>
    <col min="1284" max="1284" width="15.109375" style="107" customWidth="1"/>
    <col min="1285" max="1285" width="13.6640625" style="107" customWidth="1"/>
    <col min="1286" max="1286" width="17" style="107" customWidth="1"/>
    <col min="1287" max="1287" width="13.109375" style="107" bestFit="1" customWidth="1"/>
    <col min="1288" max="1288" width="7.88671875" style="107"/>
    <col min="1289" max="1289" width="14.33203125" style="107" bestFit="1" customWidth="1"/>
    <col min="1290" max="1290" width="16.44140625" style="107" bestFit="1" customWidth="1"/>
    <col min="1291" max="1533" width="7.88671875" style="107"/>
    <col min="1534" max="1534" width="29.33203125" style="107" customWidth="1"/>
    <col min="1535" max="1535" width="14.44140625" style="107" customWidth="1"/>
    <col min="1536" max="1536" width="16" style="107" customWidth="1"/>
    <col min="1537" max="1538" width="13.6640625" style="107" customWidth="1"/>
    <col min="1539" max="1539" width="16.88671875" style="107" customWidth="1"/>
    <col min="1540" max="1540" width="15.109375" style="107" customWidth="1"/>
    <col min="1541" max="1541" width="13.6640625" style="107" customWidth="1"/>
    <col min="1542" max="1542" width="17" style="107" customWidth="1"/>
    <col min="1543" max="1543" width="13.109375" style="107" bestFit="1" customWidth="1"/>
    <col min="1544" max="1544" width="7.88671875" style="107"/>
    <col min="1545" max="1545" width="14.33203125" style="107" bestFit="1" customWidth="1"/>
    <col min="1546" max="1546" width="16.44140625" style="107" bestFit="1" customWidth="1"/>
    <col min="1547" max="1789" width="7.88671875" style="107"/>
    <col min="1790" max="1790" width="29.33203125" style="107" customWidth="1"/>
    <col min="1791" max="1791" width="14.44140625" style="107" customWidth="1"/>
    <col min="1792" max="1792" width="16" style="107" customWidth="1"/>
    <col min="1793" max="1794" width="13.6640625" style="107" customWidth="1"/>
    <col min="1795" max="1795" width="16.88671875" style="107" customWidth="1"/>
    <col min="1796" max="1796" width="15.109375" style="107" customWidth="1"/>
    <col min="1797" max="1797" width="13.6640625" style="107" customWidth="1"/>
    <col min="1798" max="1798" width="17" style="107" customWidth="1"/>
    <col min="1799" max="1799" width="13.109375" style="107" bestFit="1" customWidth="1"/>
    <col min="1800" max="1800" width="7.88671875" style="107"/>
    <col min="1801" max="1801" width="14.33203125" style="107" bestFit="1" customWidth="1"/>
    <col min="1802" max="1802" width="16.44140625" style="107" bestFit="1" customWidth="1"/>
    <col min="1803" max="2045" width="7.88671875" style="107"/>
    <col min="2046" max="2046" width="29.33203125" style="107" customWidth="1"/>
    <col min="2047" max="2047" width="14.44140625" style="107" customWidth="1"/>
    <col min="2048" max="2048" width="16" style="107" customWidth="1"/>
    <col min="2049" max="2050" width="13.6640625" style="107" customWidth="1"/>
    <col min="2051" max="2051" width="16.88671875" style="107" customWidth="1"/>
    <col min="2052" max="2052" width="15.109375" style="107" customWidth="1"/>
    <col min="2053" max="2053" width="13.6640625" style="107" customWidth="1"/>
    <col min="2054" max="2054" width="17" style="107" customWidth="1"/>
    <col min="2055" max="2055" width="13.109375" style="107" bestFit="1" customWidth="1"/>
    <col min="2056" max="2056" width="7.88671875" style="107"/>
    <col min="2057" max="2057" width="14.33203125" style="107" bestFit="1" customWidth="1"/>
    <col min="2058" max="2058" width="16.44140625" style="107" bestFit="1" customWidth="1"/>
    <col min="2059" max="2301" width="7.88671875" style="107"/>
    <col min="2302" max="2302" width="29.33203125" style="107" customWidth="1"/>
    <col min="2303" max="2303" width="14.44140625" style="107" customWidth="1"/>
    <col min="2304" max="2304" width="16" style="107" customWidth="1"/>
    <col min="2305" max="2306" width="13.6640625" style="107" customWidth="1"/>
    <col min="2307" max="2307" width="16.88671875" style="107" customWidth="1"/>
    <col min="2308" max="2308" width="15.109375" style="107" customWidth="1"/>
    <col min="2309" max="2309" width="13.6640625" style="107" customWidth="1"/>
    <col min="2310" max="2310" width="17" style="107" customWidth="1"/>
    <col min="2311" max="2311" width="13.109375" style="107" bestFit="1" customWidth="1"/>
    <col min="2312" max="2312" width="7.88671875" style="107"/>
    <col min="2313" max="2313" width="14.33203125" style="107" bestFit="1" customWidth="1"/>
    <col min="2314" max="2314" width="16.44140625" style="107" bestFit="1" customWidth="1"/>
    <col min="2315" max="2557" width="7.88671875" style="107"/>
    <col min="2558" max="2558" width="29.33203125" style="107" customWidth="1"/>
    <col min="2559" max="2559" width="14.44140625" style="107" customWidth="1"/>
    <col min="2560" max="2560" width="16" style="107" customWidth="1"/>
    <col min="2561" max="2562" width="13.6640625" style="107" customWidth="1"/>
    <col min="2563" max="2563" width="16.88671875" style="107" customWidth="1"/>
    <col min="2564" max="2564" width="15.109375" style="107" customWidth="1"/>
    <col min="2565" max="2565" width="13.6640625" style="107" customWidth="1"/>
    <col min="2566" max="2566" width="17" style="107" customWidth="1"/>
    <col min="2567" max="2567" width="13.109375" style="107" bestFit="1" customWidth="1"/>
    <col min="2568" max="2568" width="7.88671875" style="107"/>
    <col min="2569" max="2569" width="14.33203125" style="107" bestFit="1" customWidth="1"/>
    <col min="2570" max="2570" width="16.44140625" style="107" bestFit="1" customWidth="1"/>
    <col min="2571" max="2813" width="7.88671875" style="107"/>
    <col min="2814" max="2814" width="29.33203125" style="107" customWidth="1"/>
    <col min="2815" max="2815" width="14.44140625" style="107" customWidth="1"/>
    <col min="2816" max="2816" width="16" style="107" customWidth="1"/>
    <col min="2817" max="2818" width="13.6640625" style="107" customWidth="1"/>
    <col min="2819" max="2819" width="16.88671875" style="107" customWidth="1"/>
    <col min="2820" max="2820" width="15.109375" style="107" customWidth="1"/>
    <col min="2821" max="2821" width="13.6640625" style="107" customWidth="1"/>
    <col min="2822" max="2822" width="17" style="107" customWidth="1"/>
    <col min="2823" max="2823" width="13.109375" style="107" bestFit="1" customWidth="1"/>
    <col min="2824" max="2824" width="7.88671875" style="107"/>
    <col min="2825" max="2825" width="14.33203125" style="107" bestFit="1" customWidth="1"/>
    <col min="2826" max="2826" width="16.44140625" style="107" bestFit="1" customWidth="1"/>
    <col min="2827" max="3069" width="7.88671875" style="107"/>
    <col min="3070" max="3070" width="29.33203125" style="107" customWidth="1"/>
    <col min="3071" max="3071" width="14.44140625" style="107" customWidth="1"/>
    <col min="3072" max="3072" width="16" style="107" customWidth="1"/>
    <col min="3073" max="3074" width="13.6640625" style="107" customWidth="1"/>
    <col min="3075" max="3075" width="16.88671875" style="107" customWidth="1"/>
    <col min="3076" max="3076" width="15.109375" style="107" customWidth="1"/>
    <col min="3077" max="3077" width="13.6640625" style="107" customWidth="1"/>
    <col min="3078" max="3078" width="17" style="107" customWidth="1"/>
    <col min="3079" max="3079" width="13.109375" style="107" bestFit="1" customWidth="1"/>
    <col min="3080" max="3080" width="7.88671875" style="107"/>
    <col min="3081" max="3081" width="14.33203125" style="107" bestFit="1" customWidth="1"/>
    <col min="3082" max="3082" width="16.44140625" style="107" bestFit="1" customWidth="1"/>
    <col min="3083" max="3325" width="7.88671875" style="107"/>
    <col min="3326" max="3326" width="29.33203125" style="107" customWidth="1"/>
    <col min="3327" max="3327" width="14.44140625" style="107" customWidth="1"/>
    <col min="3328" max="3328" width="16" style="107" customWidth="1"/>
    <col min="3329" max="3330" width="13.6640625" style="107" customWidth="1"/>
    <col min="3331" max="3331" width="16.88671875" style="107" customWidth="1"/>
    <col min="3332" max="3332" width="15.109375" style="107" customWidth="1"/>
    <col min="3333" max="3333" width="13.6640625" style="107" customWidth="1"/>
    <col min="3334" max="3334" width="17" style="107" customWidth="1"/>
    <col min="3335" max="3335" width="13.109375" style="107" bestFit="1" customWidth="1"/>
    <col min="3336" max="3336" width="7.88671875" style="107"/>
    <col min="3337" max="3337" width="14.33203125" style="107" bestFit="1" customWidth="1"/>
    <col min="3338" max="3338" width="16.44140625" style="107" bestFit="1" customWidth="1"/>
    <col min="3339" max="3581" width="7.88671875" style="107"/>
    <col min="3582" max="3582" width="29.33203125" style="107" customWidth="1"/>
    <col min="3583" max="3583" width="14.44140625" style="107" customWidth="1"/>
    <col min="3584" max="3584" width="16" style="107" customWidth="1"/>
    <col min="3585" max="3586" width="13.6640625" style="107" customWidth="1"/>
    <col min="3587" max="3587" width="16.88671875" style="107" customWidth="1"/>
    <col min="3588" max="3588" width="15.109375" style="107" customWidth="1"/>
    <col min="3589" max="3589" width="13.6640625" style="107" customWidth="1"/>
    <col min="3590" max="3590" width="17" style="107" customWidth="1"/>
    <col min="3591" max="3591" width="13.109375" style="107" bestFit="1" customWidth="1"/>
    <col min="3592" max="3592" width="7.88671875" style="107"/>
    <col min="3593" max="3593" width="14.33203125" style="107" bestFit="1" customWidth="1"/>
    <col min="3594" max="3594" width="16.44140625" style="107" bestFit="1" customWidth="1"/>
    <col min="3595" max="3837" width="7.88671875" style="107"/>
    <col min="3838" max="3838" width="29.33203125" style="107" customWidth="1"/>
    <col min="3839" max="3839" width="14.44140625" style="107" customWidth="1"/>
    <col min="3840" max="3840" width="16" style="107" customWidth="1"/>
    <col min="3841" max="3842" width="13.6640625" style="107" customWidth="1"/>
    <col min="3843" max="3843" width="16.88671875" style="107" customWidth="1"/>
    <col min="3844" max="3844" width="15.109375" style="107" customWidth="1"/>
    <col min="3845" max="3845" width="13.6640625" style="107" customWidth="1"/>
    <col min="3846" max="3846" width="17" style="107" customWidth="1"/>
    <col min="3847" max="3847" width="13.109375" style="107" bestFit="1" customWidth="1"/>
    <col min="3848" max="3848" width="7.88671875" style="107"/>
    <col min="3849" max="3849" width="14.33203125" style="107" bestFit="1" customWidth="1"/>
    <col min="3850" max="3850" width="16.44140625" style="107" bestFit="1" customWidth="1"/>
    <col min="3851" max="4093" width="7.88671875" style="107"/>
    <col min="4094" max="4094" width="29.33203125" style="107" customWidth="1"/>
    <col min="4095" max="4095" width="14.44140625" style="107" customWidth="1"/>
    <col min="4096" max="4096" width="16" style="107" customWidth="1"/>
    <col min="4097" max="4098" width="13.6640625" style="107" customWidth="1"/>
    <col min="4099" max="4099" width="16.88671875" style="107" customWidth="1"/>
    <col min="4100" max="4100" width="15.109375" style="107" customWidth="1"/>
    <col min="4101" max="4101" width="13.6640625" style="107" customWidth="1"/>
    <col min="4102" max="4102" width="17" style="107" customWidth="1"/>
    <col min="4103" max="4103" width="13.109375" style="107" bestFit="1" customWidth="1"/>
    <col min="4104" max="4104" width="7.88671875" style="107"/>
    <col min="4105" max="4105" width="14.33203125" style="107" bestFit="1" customWidth="1"/>
    <col min="4106" max="4106" width="16.44140625" style="107" bestFit="1" customWidth="1"/>
    <col min="4107" max="4349" width="7.88671875" style="107"/>
    <col min="4350" max="4350" width="29.33203125" style="107" customWidth="1"/>
    <col min="4351" max="4351" width="14.44140625" style="107" customWidth="1"/>
    <col min="4352" max="4352" width="16" style="107" customWidth="1"/>
    <col min="4353" max="4354" width="13.6640625" style="107" customWidth="1"/>
    <col min="4355" max="4355" width="16.88671875" style="107" customWidth="1"/>
    <col min="4356" max="4356" width="15.109375" style="107" customWidth="1"/>
    <col min="4357" max="4357" width="13.6640625" style="107" customWidth="1"/>
    <col min="4358" max="4358" width="17" style="107" customWidth="1"/>
    <col min="4359" max="4359" width="13.109375" style="107" bestFit="1" customWidth="1"/>
    <col min="4360" max="4360" width="7.88671875" style="107"/>
    <col min="4361" max="4361" width="14.33203125" style="107" bestFit="1" customWidth="1"/>
    <col min="4362" max="4362" width="16.44140625" style="107" bestFit="1" customWidth="1"/>
    <col min="4363" max="4605" width="7.88671875" style="107"/>
    <col min="4606" max="4606" width="29.33203125" style="107" customWidth="1"/>
    <col min="4607" max="4607" width="14.44140625" style="107" customWidth="1"/>
    <col min="4608" max="4608" width="16" style="107" customWidth="1"/>
    <col min="4609" max="4610" width="13.6640625" style="107" customWidth="1"/>
    <col min="4611" max="4611" width="16.88671875" style="107" customWidth="1"/>
    <col min="4612" max="4612" width="15.109375" style="107" customWidth="1"/>
    <col min="4613" max="4613" width="13.6640625" style="107" customWidth="1"/>
    <col min="4614" max="4614" width="17" style="107" customWidth="1"/>
    <col min="4615" max="4615" width="13.109375" style="107" bestFit="1" customWidth="1"/>
    <col min="4616" max="4616" width="7.88671875" style="107"/>
    <col min="4617" max="4617" width="14.33203125" style="107" bestFit="1" customWidth="1"/>
    <col min="4618" max="4618" width="16.44140625" style="107" bestFit="1" customWidth="1"/>
    <col min="4619" max="4861" width="7.88671875" style="107"/>
    <col min="4862" max="4862" width="29.33203125" style="107" customWidth="1"/>
    <col min="4863" max="4863" width="14.44140625" style="107" customWidth="1"/>
    <col min="4864" max="4864" width="16" style="107" customWidth="1"/>
    <col min="4865" max="4866" width="13.6640625" style="107" customWidth="1"/>
    <col min="4867" max="4867" width="16.88671875" style="107" customWidth="1"/>
    <col min="4868" max="4868" width="15.109375" style="107" customWidth="1"/>
    <col min="4869" max="4869" width="13.6640625" style="107" customWidth="1"/>
    <col min="4870" max="4870" width="17" style="107" customWidth="1"/>
    <col min="4871" max="4871" width="13.109375" style="107" bestFit="1" customWidth="1"/>
    <col min="4872" max="4872" width="7.88671875" style="107"/>
    <col min="4873" max="4873" width="14.33203125" style="107" bestFit="1" customWidth="1"/>
    <col min="4874" max="4874" width="16.44140625" style="107" bestFit="1" customWidth="1"/>
    <col min="4875" max="5117" width="7.88671875" style="107"/>
    <col min="5118" max="5118" width="29.33203125" style="107" customWidth="1"/>
    <col min="5119" max="5119" width="14.44140625" style="107" customWidth="1"/>
    <col min="5120" max="5120" width="16" style="107" customWidth="1"/>
    <col min="5121" max="5122" width="13.6640625" style="107" customWidth="1"/>
    <col min="5123" max="5123" width="16.88671875" style="107" customWidth="1"/>
    <col min="5124" max="5124" width="15.109375" style="107" customWidth="1"/>
    <col min="5125" max="5125" width="13.6640625" style="107" customWidth="1"/>
    <col min="5126" max="5126" width="17" style="107" customWidth="1"/>
    <col min="5127" max="5127" width="13.109375" style="107" bestFit="1" customWidth="1"/>
    <col min="5128" max="5128" width="7.88671875" style="107"/>
    <col min="5129" max="5129" width="14.33203125" style="107" bestFit="1" customWidth="1"/>
    <col min="5130" max="5130" width="16.44140625" style="107" bestFit="1" customWidth="1"/>
    <col min="5131" max="5373" width="7.88671875" style="107"/>
    <col min="5374" max="5374" width="29.33203125" style="107" customWidth="1"/>
    <col min="5375" max="5375" width="14.44140625" style="107" customWidth="1"/>
    <col min="5376" max="5376" width="16" style="107" customWidth="1"/>
    <col min="5377" max="5378" width="13.6640625" style="107" customWidth="1"/>
    <col min="5379" max="5379" width="16.88671875" style="107" customWidth="1"/>
    <col min="5380" max="5380" width="15.109375" style="107" customWidth="1"/>
    <col min="5381" max="5381" width="13.6640625" style="107" customWidth="1"/>
    <col min="5382" max="5382" width="17" style="107" customWidth="1"/>
    <col min="5383" max="5383" width="13.109375" style="107" bestFit="1" customWidth="1"/>
    <col min="5384" max="5384" width="7.88671875" style="107"/>
    <col min="5385" max="5385" width="14.33203125" style="107" bestFit="1" customWidth="1"/>
    <col min="5386" max="5386" width="16.44140625" style="107" bestFit="1" customWidth="1"/>
    <col min="5387" max="5629" width="7.88671875" style="107"/>
    <col min="5630" max="5630" width="29.33203125" style="107" customWidth="1"/>
    <col min="5631" max="5631" width="14.44140625" style="107" customWidth="1"/>
    <col min="5632" max="5632" width="16" style="107" customWidth="1"/>
    <col min="5633" max="5634" width="13.6640625" style="107" customWidth="1"/>
    <col min="5635" max="5635" width="16.88671875" style="107" customWidth="1"/>
    <col min="5636" max="5636" width="15.109375" style="107" customWidth="1"/>
    <col min="5637" max="5637" width="13.6640625" style="107" customWidth="1"/>
    <col min="5638" max="5638" width="17" style="107" customWidth="1"/>
    <col min="5639" max="5639" width="13.109375" style="107" bestFit="1" customWidth="1"/>
    <col min="5640" max="5640" width="7.88671875" style="107"/>
    <col min="5641" max="5641" width="14.33203125" style="107" bestFit="1" customWidth="1"/>
    <col min="5642" max="5642" width="16.44140625" style="107" bestFit="1" customWidth="1"/>
    <col min="5643" max="5885" width="7.88671875" style="107"/>
    <col min="5886" max="5886" width="29.33203125" style="107" customWidth="1"/>
    <col min="5887" max="5887" width="14.44140625" style="107" customWidth="1"/>
    <col min="5888" max="5888" width="16" style="107" customWidth="1"/>
    <col min="5889" max="5890" width="13.6640625" style="107" customWidth="1"/>
    <col min="5891" max="5891" width="16.88671875" style="107" customWidth="1"/>
    <col min="5892" max="5892" width="15.109375" style="107" customWidth="1"/>
    <col min="5893" max="5893" width="13.6640625" style="107" customWidth="1"/>
    <col min="5894" max="5894" width="17" style="107" customWidth="1"/>
    <col min="5895" max="5895" width="13.109375" style="107" bestFit="1" customWidth="1"/>
    <col min="5896" max="5896" width="7.88671875" style="107"/>
    <col min="5897" max="5897" width="14.33203125" style="107" bestFit="1" customWidth="1"/>
    <col min="5898" max="5898" width="16.44140625" style="107" bestFit="1" customWidth="1"/>
    <col min="5899" max="6141" width="7.88671875" style="107"/>
    <col min="6142" max="6142" width="29.33203125" style="107" customWidth="1"/>
    <col min="6143" max="6143" width="14.44140625" style="107" customWidth="1"/>
    <col min="6144" max="6144" width="16" style="107" customWidth="1"/>
    <col min="6145" max="6146" width="13.6640625" style="107" customWidth="1"/>
    <col min="6147" max="6147" width="16.88671875" style="107" customWidth="1"/>
    <col min="6148" max="6148" width="15.109375" style="107" customWidth="1"/>
    <col min="6149" max="6149" width="13.6640625" style="107" customWidth="1"/>
    <col min="6150" max="6150" width="17" style="107" customWidth="1"/>
    <col min="6151" max="6151" width="13.109375" style="107" bestFit="1" customWidth="1"/>
    <col min="6152" max="6152" width="7.88671875" style="107"/>
    <col min="6153" max="6153" width="14.33203125" style="107" bestFit="1" customWidth="1"/>
    <col min="6154" max="6154" width="16.44140625" style="107" bestFit="1" customWidth="1"/>
    <col min="6155" max="6397" width="7.88671875" style="107"/>
    <col min="6398" max="6398" width="29.33203125" style="107" customWidth="1"/>
    <col min="6399" max="6399" width="14.44140625" style="107" customWidth="1"/>
    <col min="6400" max="6400" width="16" style="107" customWidth="1"/>
    <col min="6401" max="6402" width="13.6640625" style="107" customWidth="1"/>
    <col min="6403" max="6403" width="16.88671875" style="107" customWidth="1"/>
    <col min="6404" max="6404" width="15.109375" style="107" customWidth="1"/>
    <col min="6405" max="6405" width="13.6640625" style="107" customWidth="1"/>
    <col min="6406" max="6406" width="17" style="107" customWidth="1"/>
    <col min="6407" max="6407" width="13.109375" style="107" bestFit="1" customWidth="1"/>
    <col min="6408" max="6408" width="7.88671875" style="107"/>
    <col min="6409" max="6409" width="14.33203125" style="107" bestFit="1" customWidth="1"/>
    <col min="6410" max="6410" width="16.44140625" style="107" bestFit="1" customWidth="1"/>
    <col min="6411" max="6653" width="7.88671875" style="107"/>
    <col min="6654" max="6654" width="29.33203125" style="107" customWidth="1"/>
    <col min="6655" max="6655" width="14.44140625" style="107" customWidth="1"/>
    <col min="6656" max="6656" width="16" style="107" customWidth="1"/>
    <col min="6657" max="6658" width="13.6640625" style="107" customWidth="1"/>
    <col min="6659" max="6659" width="16.88671875" style="107" customWidth="1"/>
    <col min="6660" max="6660" width="15.109375" style="107" customWidth="1"/>
    <col min="6661" max="6661" width="13.6640625" style="107" customWidth="1"/>
    <col min="6662" max="6662" width="17" style="107" customWidth="1"/>
    <col min="6663" max="6663" width="13.109375" style="107" bestFit="1" customWidth="1"/>
    <col min="6664" max="6664" width="7.88671875" style="107"/>
    <col min="6665" max="6665" width="14.33203125" style="107" bestFit="1" customWidth="1"/>
    <col min="6666" max="6666" width="16.44140625" style="107" bestFit="1" customWidth="1"/>
    <col min="6667" max="6909" width="7.88671875" style="107"/>
    <col min="6910" max="6910" width="29.33203125" style="107" customWidth="1"/>
    <col min="6911" max="6911" width="14.44140625" style="107" customWidth="1"/>
    <col min="6912" max="6912" width="16" style="107" customWidth="1"/>
    <col min="6913" max="6914" width="13.6640625" style="107" customWidth="1"/>
    <col min="6915" max="6915" width="16.88671875" style="107" customWidth="1"/>
    <col min="6916" max="6916" width="15.109375" style="107" customWidth="1"/>
    <col min="6917" max="6917" width="13.6640625" style="107" customWidth="1"/>
    <col min="6918" max="6918" width="17" style="107" customWidth="1"/>
    <col min="6919" max="6919" width="13.109375" style="107" bestFit="1" customWidth="1"/>
    <col min="6920" max="6920" width="7.88671875" style="107"/>
    <col min="6921" max="6921" width="14.33203125" style="107" bestFit="1" customWidth="1"/>
    <col min="6922" max="6922" width="16.44140625" style="107" bestFit="1" customWidth="1"/>
    <col min="6923" max="7165" width="7.88671875" style="107"/>
    <col min="7166" max="7166" width="29.33203125" style="107" customWidth="1"/>
    <col min="7167" max="7167" width="14.44140625" style="107" customWidth="1"/>
    <col min="7168" max="7168" width="16" style="107" customWidth="1"/>
    <col min="7169" max="7170" width="13.6640625" style="107" customWidth="1"/>
    <col min="7171" max="7171" width="16.88671875" style="107" customWidth="1"/>
    <col min="7172" max="7172" width="15.109375" style="107" customWidth="1"/>
    <col min="7173" max="7173" width="13.6640625" style="107" customWidth="1"/>
    <col min="7174" max="7174" width="17" style="107" customWidth="1"/>
    <col min="7175" max="7175" width="13.109375" style="107" bestFit="1" customWidth="1"/>
    <col min="7176" max="7176" width="7.88671875" style="107"/>
    <col min="7177" max="7177" width="14.33203125" style="107" bestFit="1" customWidth="1"/>
    <col min="7178" max="7178" width="16.44140625" style="107" bestFit="1" customWidth="1"/>
    <col min="7179" max="7421" width="7.88671875" style="107"/>
    <col min="7422" max="7422" width="29.33203125" style="107" customWidth="1"/>
    <col min="7423" max="7423" width="14.44140625" style="107" customWidth="1"/>
    <col min="7424" max="7424" width="16" style="107" customWidth="1"/>
    <col min="7425" max="7426" width="13.6640625" style="107" customWidth="1"/>
    <col min="7427" max="7427" width="16.88671875" style="107" customWidth="1"/>
    <col min="7428" max="7428" width="15.109375" style="107" customWidth="1"/>
    <col min="7429" max="7429" width="13.6640625" style="107" customWidth="1"/>
    <col min="7430" max="7430" width="17" style="107" customWidth="1"/>
    <col min="7431" max="7431" width="13.109375" style="107" bestFit="1" customWidth="1"/>
    <col min="7432" max="7432" width="7.88671875" style="107"/>
    <col min="7433" max="7433" width="14.33203125" style="107" bestFit="1" customWidth="1"/>
    <col min="7434" max="7434" width="16.44140625" style="107" bestFit="1" customWidth="1"/>
    <col min="7435" max="7677" width="7.88671875" style="107"/>
    <col min="7678" max="7678" width="29.33203125" style="107" customWidth="1"/>
    <col min="7679" max="7679" width="14.44140625" style="107" customWidth="1"/>
    <col min="7680" max="7680" width="16" style="107" customWidth="1"/>
    <col min="7681" max="7682" width="13.6640625" style="107" customWidth="1"/>
    <col min="7683" max="7683" width="16.88671875" style="107" customWidth="1"/>
    <col min="7684" max="7684" width="15.109375" style="107" customWidth="1"/>
    <col min="7685" max="7685" width="13.6640625" style="107" customWidth="1"/>
    <col min="7686" max="7686" width="17" style="107" customWidth="1"/>
    <col min="7687" max="7687" width="13.109375" style="107" bestFit="1" customWidth="1"/>
    <col min="7688" max="7688" width="7.88671875" style="107"/>
    <col min="7689" max="7689" width="14.33203125" style="107" bestFit="1" customWidth="1"/>
    <col min="7690" max="7690" width="16.44140625" style="107" bestFit="1" customWidth="1"/>
    <col min="7691" max="7933" width="7.88671875" style="107"/>
    <col min="7934" max="7934" width="29.33203125" style="107" customWidth="1"/>
    <col min="7935" max="7935" width="14.44140625" style="107" customWidth="1"/>
    <col min="7936" max="7936" width="16" style="107" customWidth="1"/>
    <col min="7937" max="7938" width="13.6640625" style="107" customWidth="1"/>
    <col min="7939" max="7939" width="16.88671875" style="107" customWidth="1"/>
    <col min="7940" max="7940" width="15.109375" style="107" customWidth="1"/>
    <col min="7941" max="7941" width="13.6640625" style="107" customWidth="1"/>
    <col min="7942" max="7942" width="17" style="107" customWidth="1"/>
    <col min="7943" max="7943" width="13.109375" style="107" bestFit="1" customWidth="1"/>
    <col min="7944" max="7944" width="7.88671875" style="107"/>
    <col min="7945" max="7945" width="14.33203125" style="107" bestFit="1" customWidth="1"/>
    <col min="7946" max="7946" width="16.44140625" style="107" bestFit="1" customWidth="1"/>
    <col min="7947" max="8189" width="7.88671875" style="107"/>
    <col min="8190" max="8190" width="29.33203125" style="107" customWidth="1"/>
    <col min="8191" max="8191" width="14.44140625" style="107" customWidth="1"/>
    <col min="8192" max="8192" width="16" style="107" customWidth="1"/>
    <col min="8193" max="8194" width="13.6640625" style="107" customWidth="1"/>
    <col min="8195" max="8195" width="16.88671875" style="107" customWidth="1"/>
    <col min="8196" max="8196" width="15.109375" style="107" customWidth="1"/>
    <col min="8197" max="8197" width="13.6640625" style="107" customWidth="1"/>
    <col min="8198" max="8198" width="17" style="107" customWidth="1"/>
    <col min="8199" max="8199" width="13.109375" style="107" bestFit="1" customWidth="1"/>
    <col min="8200" max="8200" width="7.88671875" style="107"/>
    <col min="8201" max="8201" width="14.33203125" style="107" bestFit="1" customWidth="1"/>
    <col min="8202" max="8202" width="16.44140625" style="107" bestFit="1" customWidth="1"/>
    <col min="8203" max="8445" width="7.88671875" style="107"/>
    <col min="8446" max="8446" width="29.33203125" style="107" customWidth="1"/>
    <col min="8447" max="8447" width="14.44140625" style="107" customWidth="1"/>
    <col min="8448" max="8448" width="16" style="107" customWidth="1"/>
    <col min="8449" max="8450" width="13.6640625" style="107" customWidth="1"/>
    <col min="8451" max="8451" width="16.88671875" style="107" customWidth="1"/>
    <col min="8452" max="8452" width="15.109375" style="107" customWidth="1"/>
    <col min="8453" max="8453" width="13.6640625" style="107" customWidth="1"/>
    <col min="8454" max="8454" width="17" style="107" customWidth="1"/>
    <col min="8455" max="8455" width="13.109375" style="107" bestFit="1" customWidth="1"/>
    <col min="8456" max="8456" width="7.88671875" style="107"/>
    <col min="8457" max="8457" width="14.33203125" style="107" bestFit="1" customWidth="1"/>
    <col min="8458" max="8458" width="16.44140625" style="107" bestFit="1" customWidth="1"/>
    <col min="8459" max="8701" width="7.88671875" style="107"/>
    <col min="8702" max="8702" width="29.33203125" style="107" customWidth="1"/>
    <col min="8703" max="8703" width="14.44140625" style="107" customWidth="1"/>
    <col min="8704" max="8704" width="16" style="107" customWidth="1"/>
    <col min="8705" max="8706" width="13.6640625" style="107" customWidth="1"/>
    <col min="8707" max="8707" width="16.88671875" style="107" customWidth="1"/>
    <col min="8708" max="8708" width="15.109375" style="107" customWidth="1"/>
    <col min="8709" max="8709" width="13.6640625" style="107" customWidth="1"/>
    <col min="8710" max="8710" width="17" style="107" customWidth="1"/>
    <col min="8711" max="8711" width="13.109375" style="107" bestFit="1" customWidth="1"/>
    <col min="8712" max="8712" width="7.88671875" style="107"/>
    <col min="8713" max="8713" width="14.33203125" style="107" bestFit="1" customWidth="1"/>
    <col min="8714" max="8714" width="16.44140625" style="107" bestFit="1" customWidth="1"/>
    <col min="8715" max="8957" width="7.88671875" style="107"/>
    <col min="8958" max="8958" width="29.33203125" style="107" customWidth="1"/>
    <col min="8959" max="8959" width="14.44140625" style="107" customWidth="1"/>
    <col min="8960" max="8960" width="16" style="107" customWidth="1"/>
    <col min="8961" max="8962" width="13.6640625" style="107" customWidth="1"/>
    <col min="8963" max="8963" width="16.88671875" style="107" customWidth="1"/>
    <col min="8964" max="8964" width="15.109375" style="107" customWidth="1"/>
    <col min="8965" max="8965" width="13.6640625" style="107" customWidth="1"/>
    <col min="8966" max="8966" width="17" style="107" customWidth="1"/>
    <col min="8967" max="8967" width="13.109375" style="107" bestFit="1" customWidth="1"/>
    <col min="8968" max="8968" width="7.88671875" style="107"/>
    <col min="8969" max="8969" width="14.33203125" style="107" bestFit="1" customWidth="1"/>
    <col min="8970" max="8970" width="16.44140625" style="107" bestFit="1" customWidth="1"/>
    <col min="8971" max="9213" width="7.88671875" style="107"/>
    <col min="9214" max="9214" width="29.33203125" style="107" customWidth="1"/>
    <col min="9215" max="9215" width="14.44140625" style="107" customWidth="1"/>
    <col min="9216" max="9216" width="16" style="107" customWidth="1"/>
    <col min="9217" max="9218" width="13.6640625" style="107" customWidth="1"/>
    <col min="9219" max="9219" width="16.88671875" style="107" customWidth="1"/>
    <col min="9220" max="9220" width="15.109375" style="107" customWidth="1"/>
    <col min="9221" max="9221" width="13.6640625" style="107" customWidth="1"/>
    <col min="9222" max="9222" width="17" style="107" customWidth="1"/>
    <col min="9223" max="9223" width="13.109375" style="107" bestFit="1" customWidth="1"/>
    <col min="9224" max="9224" width="7.88671875" style="107"/>
    <col min="9225" max="9225" width="14.33203125" style="107" bestFit="1" customWidth="1"/>
    <col min="9226" max="9226" width="16.44140625" style="107" bestFit="1" customWidth="1"/>
    <col min="9227" max="9469" width="7.88671875" style="107"/>
    <col min="9470" max="9470" width="29.33203125" style="107" customWidth="1"/>
    <col min="9471" max="9471" width="14.44140625" style="107" customWidth="1"/>
    <col min="9472" max="9472" width="16" style="107" customWidth="1"/>
    <col min="9473" max="9474" width="13.6640625" style="107" customWidth="1"/>
    <col min="9475" max="9475" width="16.88671875" style="107" customWidth="1"/>
    <col min="9476" max="9476" width="15.109375" style="107" customWidth="1"/>
    <col min="9477" max="9477" width="13.6640625" style="107" customWidth="1"/>
    <col min="9478" max="9478" width="17" style="107" customWidth="1"/>
    <col min="9479" max="9479" width="13.109375" style="107" bestFit="1" customWidth="1"/>
    <col min="9480" max="9480" width="7.88671875" style="107"/>
    <col min="9481" max="9481" width="14.33203125" style="107" bestFit="1" customWidth="1"/>
    <col min="9482" max="9482" width="16.44140625" style="107" bestFit="1" customWidth="1"/>
    <col min="9483" max="9725" width="7.88671875" style="107"/>
    <col min="9726" max="9726" width="29.33203125" style="107" customWidth="1"/>
    <col min="9727" max="9727" width="14.44140625" style="107" customWidth="1"/>
    <col min="9728" max="9728" width="16" style="107" customWidth="1"/>
    <col min="9729" max="9730" width="13.6640625" style="107" customWidth="1"/>
    <col min="9731" max="9731" width="16.88671875" style="107" customWidth="1"/>
    <col min="9732" max="9732" width="15.109375" style="107" customWidth="1"/>
    <col min="9733" max="9733" width="13.6640625" style="107" customWidth="1"/>
    <col min="9734" max="9734" width="17" style="107" customWidth="1"/>
    <col min="9735" max="9735" width="13.109375" style="107" bestFit="1" customWidth="1"/>
    <col min="9736" max="9736" width="7.88671875" style="107"/>
    <col min="9737" max="9737" width="14.33203125" style="107" bestFit="1" customWidth="1"/>
    <col min="9738" max="9738" width="16.44140625" style="107" bestFit="1" customWidth="1"/>
    <col min="9739" max="9981" width="7.88671875" style="107"/>
    <col min="9982" max="9982" width="29.33203125" style="107" customWidth="1"/>
    <col min="9983" max="9983" width="14.44140625" style="107" customWidth="1"/>
    <col min="9984" max="9984" width="16" style="107" customWidth="1"/>
    <col min="9985" max="9986" width="13.6640625" style="107" customWidth="1"/>
    <col min="9987" max="9987" width="16.88671875" style="107" customWidth="1"/>
    <col min="9988" max="9988" width="15.109375" style="107" customWidth="1"/>
    <col min="9989" max="9989" width="13.6640625" style="107" customWidth="1"/>
    <col min="9990" max="9990" width="17" style="107" customWidth="1"/>
    <col min="9991" max="9991" width="13.109375" style="107" bestFit="1" customWidth="1"/>
    <col min="9992" max="9992" width="7.88671875" style="107"/>
    <col min="9993" max="9993" width="14.33203125" style="107" bestFit="1" customWidth="1"/>
    <col min="9994" max="9994" width="16.44140625" style="107" bestFit="1" customWidth="1"/>
    <col min="9995" max="10237" width="7.88671875" style="107"/>
    <col min="10238" max="10238" width="29.33203125" style="107" customWidth="1"/>
    <col min="10239" max="10239" width="14.44140625" style="107" customWidth="1"/>
    <col min="10240" max="10240" width="16" style="107" customWidth="1"/>
    <col min="10241" max="10242" width="13.6640625" style="107" customWidth="1"/>
    <col min="10243" max="10243" width="16.88671875" style="107" customWidth="1"/>
    <col min="10244" max="10244" width="15.109375" style="107" customWidth="1"/>
    <col min="10245" max="10245" width="13.6640625" style="107" customWidth="1"/>
    <col min="10246" max="10246" width="17" style="107" customWidth="1"/>
    <col min="10247" max="10247" width="13.109375" style="107" bestFit="1" customWidth="1"/>
    <col min="10248" max="10248" width="7.88671875" style="107"/>
    <col min="10249" max="10249" width="14.33203125" style="107" bestFit="1" customWidth="1"/>
    <col min="10250" max="10250" width="16.44140625" style="107" bestFit="1" customWidth="1"/>
    <col min="10251" max="10493" width="7.88671875" style="107"/>
    <col min="10494" max="10494" width="29.33203125" style="107" customWidth="1"/>
    <col min="10495" max="10495" width="14.44140625" style="107" customWidth="1"/>
    <col min="10496" max="10496" width="16" style="107" customWidth="1"/>
    <col min="10497" max="10498" width="13.6640625" style="107" customWidth="1"/>
    <col min="10499" max="10499" width="16.88671875" style="107" customWidth="1"/>
    <col min="10500" max="10500" width="15.109375" style="107" customWidth="1"/>
    <col min="10501" max="10501" width="13.6640625" style="107" customWidth="1"/>
    <col min="10502" max="10502" width="17" style="107" customWidth="1"/>
    <col min="10503" max="10503" width="13.109375" style="107" bestFit="1" customWidth="1"/>
    <col min="10504" max="10504" width="7.88671875" style="107"/>
    <col min="10505" max="10505" width="14.33203125" style="107" bestFit="1" customWidth="1"/>
    <col min="10506" max="10506" width="16.44140625" style="107" bestFit="1" customWidth="1"/>
    <col min="10507" max="10749" width="7.88671875" style="107"/>
    <col min="10750" max="10750" width="29.33203125" style="107" customWidth="1"/>
    <col min="10751" max="10751" width="14.44140625" style="107" customWidth="1"/>
    <col min="10752" max="10752" width="16" style="107" customWidth="1"/>
    <col min="10753" max="10754" width="13.6640625" style="107" customWidth="1"/>
    <col min="10755" max="10755" width="16.88671875" style="107" customWidth="1"/>
    <col min="10756" max="10756" width="15.109375" style="107" customWidth="1"/>
    <col min="10757" max="10757" width="13.6640625" style="107" customWidth="1"/>
    <col min="10758" max="10758" width="17" style="107" customWidth="1"/>
    <col min="10759" max="10759" width="13.109375" style="107" bestFit="1" customWidth="1"/>
    <col min="10760" max="10760" width="7.88671875" style="107"/>
    <col min="10761" max="10761" width="14.33203125" style="107" bestFit="1" customWidth="1"/>
    <col min="10762" max="10762" width="16.44140625" style="107" bestFit="1" customWidth="1"/>
    <col min="10763" max="11005" width="7.88671875" style="107"/>
    <col min="11006" max="11006" width="29.33203125" style="107" customWidth="1"/>
    <col min="11007" max="11007" width="14.44140625" style="107" customWidth="1"/>
    <col min="11008" max="11008" width="16" style="107" customWidth="1"/>
    <col min="11009" max="11010" width="13.6640625" style="107" customWidth="1"/>
    <col min="11011" max="11011" width="16.88671875" style="107" customWidth="1"/>
    <col min="11012" max="11012" width="15.109375" style="107" customWidth="1"/>
    <col min="11013" max="11013" width="13.6640625" style="107" customWidth="1"/>
    <col min="11014" max="11014" width="17" style="107" customWidth="1"/>
    <col min="11015" max="11015" width="13.109375" style="107" bestFit="1" customWidth="1"/>
    <col min="11016" max="11016" width="7.88671875" style="107"/>
    <col min="11017" max="11017" width="14.33203125" style="107" bestFit="1" customWidth="1"/>
    <col min="11018" max="11018" width="16.44140625" style="107" bestFit="1" customWidth="1"/>
    <col min="11019" max="11261" width="7.88671875" style="107"/>
    <col min="11262" max="11262" width="29.33203125" style="107" customWidth="1"/>
    <col min="11263" max="11263" width="14.44140625" style="107" customWidth="1"/>
    <col min="11264" max="11264" width="16" style="107" customWidth="1"/>
    <col min="11265" max="11266" width="13.6640625" style="107" customWidth="1"/>
    <col min="11267" max="11267" width="16.88671875" style="107" customWidth="1"/>
    <col min="11268" max="11268" width="15.109375" style="107" customWidth="1"/>
    <col min="11269" max="11269" width="13.6640625" style="107" customWidth="1"/>
    <col min="11270" max="11270" width="17" style="107" customWidth="1"/>
    <col min="11271" max="11271" width="13.109375" style="107" bestFit="1" customWidth="1"/>
    <col min="11272" max="11272" width="7.88671875" style="107"/>
    <col min="11273" max="11273" width="14.33203125" style="107" bestFit="1" customWidth="1"/>
    <col min="11274" max="11274" width="16.44140625" style="107" bestFit="1" customWidth="1"/>
    <col min="11275" max="11517" width="7.88671875" style="107"/>
    <col min="11518" max="11518" width="29.33203125" style="107" customWidth="1"/>
    <col min="11519" max="11519" width="14.44140625" style="107" customWidth="1"/>
    <col min="11520" max="11520" width="16" style="107" customWidth="1"/>
    <col min="11521" max="11522" width="13.6640625" style="107" customWidth="1"/>
    <col min="11523" max="11523" width="16.88671875" style="107" customWidth="1"/>
    <col min="11524" max="11524" width="15.109375" style="107" customWidth="1"/>
    <col min="11525" max="11525" width="13.6640625" style="107" customWidth="1"/>
    <col min="11526" max="11526" width="17" style="107" customWidth="1"/>
    <col min="11527" max="11527" width="13.109375" style="107" bestFit="1" customWidth="1"/>
    <col min="11528" max="11528" width="7.88671875" style="107"/>
    <col min="11529" max="11529" width="14.33203125" style="107" bestFit="1" customWidth="1"/>
    <col min="11530" max="11530" width="16.44140625" style="107" bestFit="1" customWidth="1"/>
    <col min="11531" max="11773" width="7.88671875" style="107"/>
    <col min="11774" max="11774" width="29.33203125" style="107" customWidth="1"/>
    <col min="11775" max="11775" width="14.44140625" style="107" customWidth="1"/>
    <col min="11776" max="11776" width="16" style="107" customWidth="1"/>
    <col min="11777" max="11778" width="13.6640625" style="107" customWidth="1"/>
    <col min="11779" max="11779" width="16.88671875" style="107" customWidth="1"/>
    <col min="11780" max="11780" width="15.109375" style="107" customWidth="1"/>
    <col min="11781" max="11781" width="13.6640625" style="107" customWidth="1"/>
    <col min="11782" max="11782" width="17" style="107" customWidth="1"/>
    <col min="11783" max="11783" width="13.109375" style="107" bestFit="1" customWidth="1"/>
    <col min="11784" max="11784" width="7.88671875" style="107"/>
    <col min="11785" max="11785" width="14.33203125" style="107" bestFit="1" customWidth="1"/>
    <col min="11786" max="11786" width="16.44140625" style="107" bestFit="1" customWidth="1"/>
    <col min="11787" max="12029" width="7.88671875" style="107"/>
    <col min="12030" max="12030" width="29.33203125" style="107" customWidth="1"/>
    <col min="12031" max="12031" width="14.44140625" style="107" customWidth="1"/>
    <col min="12032" max="12032" width="16" style="107" customWidth="1"/>
    <col min="12033" max="12034" width="13.6640625" style="107" customWidth="1"/>
    <col min="12035" max="12035" width="16.88671875" style="107" customWidth="1"/>
    <col min="12036" max="12036" width="15.109375" style="107" customWidth="1"/>
    <col min="12037" max="12037" width="13.6640625" style="107" customWidth="1"/>
    <col min="12038" max="12038" width="17" style="107" customWidth="1"/>
    <col min="12039" max="12039" width="13.109375" style="107" bestFit="1" customWidth="1"/>
    <col min="12040" max="12040" width="7.88671875" style="107"/>
    <col min="12041" max="12041" width="14.33203125" style="107" bestFit="1" customWidth="1"/>
    <col min="12042" max="12042" width="16.44140625" style="107" bestFit="1" customWidth="1"/>
    <col min="12043" max="12285" width="7.88671875" style="107"/>
    <col min="12286" max="12286" width="29.33203125" style="107" customWidth="1"/>
    <col min="12287" max="12287" width="14.44140625" style="107" customWidth="1"/>
    <col min="12288" max="12288" width="16" style="107" customWidth="1"/>
    <col min="12289" max="12290" width="13.6640625" style="107" customWidth="1"/>
    <col min="12291" max="12291" width="16.88671875" style="107" customWidth="1"/>
    <col min="12292" max="12292" width="15.109375" style="107" customWidth="1"/>
    <col min="12293" max="12293" width="13.6640625" style="107" customWidth="1"/>
    <col min="12294" max="12294" width="17" style="107" customWidth="1"/>
    <col min="12295" max="12295" width="13.109375" style="107" bestFit="1" customWidth="1"/>
    <col min="12296" max="12296" width="7.88671875" style="107"/>
    <col min="12297" max="12297" width="14.33203125" style="107" bestFit="1" customWidth="1"/>
    <col min="12298" max="12298" width="16.44140625" style="107" bestFit="1" customWidth="1"/>
    <col min="12299" max="12541" width="7.88671875" style="107"/>
    <col min="12542" max="12542" width="29.33203125" style="107" customWidth="1"/>
    <col min="12543" max="12543" width="14.44140625" style="107" customWidth="1"/>
    <col min="12544" max="12544" width="16" style="107" customWidth="1"/>
    <col min="12545" max="12546" width="13.6640625" style="107" customWidth="1"/>
    <col min="12547" max="12547" width="16.88671875" style="107" customWidth="1"/>
    <col min="12548" max="12548" width="15.109375" style="107" customWidth="1"/>
    <col min="12549" max="12549" width="13.6640625" style="107" customWidth="1"/>
    <col min="12550" max="12550" width="17" style="107" customWidth="1"/>
    <col min="12551" max="12551" width="13.109375" style="107" bestFit="1" customWidth="1"/>
    <col min="12552" max="12552" width="7.88671875" style="107"/>
    <col min="12553" max="12553" width="14.33203125" style="107" bestFit="1" customWidth="1"/>
    <col min="12554" max="12554" width="16.44140625" style="107" bestFit="1" customWidth="1"/>
    <col min="12555" max="12797" width="7.88671875" style="107"/>
    <col min="12798" max="12798" width="29.33203125" style="107" customWidth="1"/>
    <col min="12799" max="12799" width="14.44140625" style="107" customWidth="1"/>
    <col min="12800" max="12800" width="16" style="107" customWidth="1"/>
    <col min="12801" max="12802" width="13.6640625" style="107" customWidth="1"/>
    <col min="12803" max="12803" width="16.88671875" style="107" customWidth="1"/>
    <col min="12804" max="12804" width="15.109375" style="107" customWidth="1"/>
    <col min="12805" max="12805" width="13.6640625" style="107" customWidth="1"/>
    <col min="12806" max="12806" width="17" style="107" customWidth="1"/>
    <col min="12807" max="12807" width="13.109375" style="107" bestFit="1" customWidth="1"/>
    <col min="12808" max="12808" width="7.88671875" style="107"/>
    <col min="12809" max="12809" width="14.33203125" style="107" bestFit="1" customWidth="1"/>
    <col min="12810" max="12810" width="16.44140625" style="107" bestFit="1" customWidth="1"/>
    <col min="12811" max="13053" width="7.88671875" style="107"/>
    <col min="13054" max="13054" width="29.33203125" style="107" customWidth="1"/>
    <col min="13055" max="13055" width="14.44140625" style="107" customWidth="1"/>
    <col min="13056" max="13056" width="16" style="107" customWidth="1"/>
    <col min="13057" max="13058" width="13.6640625" style="107" customWidth="1"/>
    <col min="13059" max="13059" width="16.88671875" style="107" customWidth="1"/>
    <col min="13060" max="13060" width="15.109375" style="107" customWidth="1"/>
    <col min="13061" max="13061" width="13.6640625" style="107" customWidth="1"/>
    <col min="13062" max="13062" width="17" style="107" customWidth="1"/>
    <col min="13063" max="13063" width="13.109375" style="107" bestFit="1" customWidth="1"/>
    <col min="13064" max="13064" width="7.88671875" style="107"/>
    <col min="13065" max="13065" width="14.33203125" style="107" bestFit="1" customWidth="1"/>
    <col min="13066" max="13066" width="16.44140625" style="107" bestFit="1" customWidth="1"/>
    <col min="13067" max="13309" width="7.88671875" style="107"/>
    <col min="13310" max="13310" width="29.33203125" style="107" customWidth="1"/>
    <col min="13311" max="13311" width="14.44140625" style="107" customWidth="1"/>
    <col min="13312" max="13312" width="16" style="107" customWidth="1"/>
    <col min="13313" max="13314" width="13.6640625" style="107" customWidth="1"/>
    <col min="13315" max="13315" width="16.88671875" style="107" customWidth="1"/>
    <col min="13316" max="13316" width="15.109375" style="107" customWidth="1"/>
    <col min="13317" max="13317" width="13.6640625" style="107" customWidth="1"/>
    <col min="13318" max="13318" width="17" style="107" customWidth="1"/>
    <col min="13319" max="13319" width="13.109375" style="107" bestFit="1" customWidth="1"/>
    <col min="13320" max="13320" width="7.88671875" style="107"/>
    <col min="13321" max="13321" width="14.33203125" style="107" bestFit="1" customWidth="1"/>
    <col min="13322" max="13322" width="16.44140625" style="107" bestFit="1" customWidth="1"/>
    <col min="13323" max="13565" width="7.88671875" style="107"/>
    <col min="13566" max="13566" width="29.33203125" style="107" customWidth="1"/>
    <col min="13567" max="13567" width="14.44140625" style="107" customWidth="1"/>
    <col min="13568" max="13568" width="16" style="107" customWidth="1"/>
    <col min="13569" max="13570" width="13.6640625" style="107" customWidth="1"/>
    <col min="13571" max="13571" width="16.88671875" style="107" customWidth="1"/>
    <col min="13572" max="13572" width="15.109375" style="107" customWidth="1"/>
    <col min="13573" max="13573" width="13.6640625" style="107" customWidth="1"/>
    <col min="13574" max="13574" width="17" style="107" customWidth="1"/>
    <col min="13575" max="13575" width="13.109375" style="107" bestFit="1" customWidth="1"/>
    <col min="13576" max="13576" width="7.88671875" style="107"/>
    <col min="13577" max="13577" width="14.33203125" style="107" bestFit="1" customWidth="1"/>
    <col min="13578" max="13578" width="16.44140625" style="107" bestFit="1" customWidth="1"/>
    <col min="13579" max="13821" width="7.88671875" style="107"/>
    <col min="13822" max="13822" width="29.33203125" style="107" customWidth="1"/>
    <col min="13823" max="13823" width="14.44140625" style="107" customWidth="1"/>
    <col min="13824" max="13824" width="16" style="107" customWidth="1"/>
    <col min="13825" max="13826" width="13.6640625" style="107" customWidth="1"/>
    <col min="13827" max="13827" width="16.88671875" style="107" customWidth="1"/>
    <col min="13828" max="13828" width="15.109375" style="107" customWidth="1"/>
    <col min="13829" max="13829" width="13.6640625" style="107" customWidth="1"/>
    <col min="13830" max="13830" width="17" style="107" customWidth="1"/>
    <col min="13831" max="13831" width="13.109375" style="107" bestFit="1" customWidth="1"/>
    <col min="13832" max="13832" width="7.88671875" style="107"/>
    <col min="13833" max="13833" width="14.33203125" style="107" bestFit="1" customWidth="1"/>
    <col min="13834" max="13834" width="16.44140625" style="107" bestFit="1" customWidth="1"/>
    <col min="13835" max="14077" width="7.88671875" style="107"/>
    <col min="14078" max="14078" width="29.33203125" style="107" customWidth="1"/>
    <col min="14079" max="14079" width="14.44140625" style="107" customWidth="1"/>
    <col min="14080" max="14080" width="16" style="107" customWidth="1"/>
    <col min="14081" max="14082" width="13.6640625" style="107" customWidth="1"/>
    <col min="14083" max="14083" width="16.88671875" style="107" customWidth="1"/>
    <col min="14084" max="14084" width="15.109375" style="107" customWidth="1"/>
    <col min="14085" max="14085" width="13.6640625" style="107" customWidth="1"/>
    <col min="14086" max="14086" width="17" style="107" customWidth="1"/>
    <col min="14087" max="14087" width="13.109375" style="107" bestFit="1" customWidth="1"/>
    <col min="14088" max="14088" width="7.88671875" style="107"/>
    <col min="14089" max="14089" width="14.33203125" style="107" bestFit="1" customWidth="1"/>
    <col min="14090" max="14090" width="16.44140625" style="107" bestFit="1" customWidth="1"/>
    <col min="14091" max="14333" width="7.88671875" style="107"/>
    <col min="14334" max="14334" width="29.33203125" style="107" customWidth="1"/>
    <col min="14335" max="14335" width="14.44140625" style="107" customWidth="1"/>
    <col min="14336" max="14336" width="16" style="107" customWidth="1"/>
    <col min="14337" max="14338" width="13.6640625" style="107" customWidth="1"/>
    <col min="14339" max="14339" width="16.88671875" style="107" customWidth="1"/>
    <col min="14340" max="14340" width="15.109375" style="107" customWidth="1"/>
    <col min="14341" max="14341" width="13.6640625" style="107" customWidth="1"/>
    <col min="14342" max="14342" width="17" style="107" customWidth="1"/>
    <col min="14343" max="14343" width="13.109375" style="107" bestFit="1" customWidth="1"/>
    <col min="14344" max="14344" width="7.88671875" style="107"/>
    <col min="14345" max="14345" width="14.33203125" style="107" bestFit="1" customWidth="1"/>
    <col min="14346" max="14346" width="16.44140625" style="107" bestFit="1" customWidth="1"/>
    <col min="14347" max="14589" width="7.88671875" style="107"/>
    <col min="14590" max="14590" width="29.33203125" style="107" customWidth="1"/>
    <col min="14591" max="14591" width="14.44140625" style="107" customWidth="1"/>
    <col min="14592" max="14592" width="16" style="107" customWidth="1"/>
    <col min="14593" max="14594" width="13.6640625" style="107" customWidth="1"/>
    <col min="14595" max="14595" width="16.88671875" style="107" customWidth="1"/>
    <col min="14596" max="14596" width="15.109375" style="107" customWidth="1"/>
    <col min="14597" max="14597" width="13.6640625" style="107" customWidth="1"/>
    <col min="14598" max="14598" width="17" style="107" customWidth="1"/>
    <col min="14599" max="14599" width="13.109375" style="107" bestFit="1" customWidth="1"/>
    <col min="14600" max="14600" width="7.88671875" style="107"/>
    <col min="14601" max="14601" width="14.33203125" style="107" bestFit="1" customWidth="1"/>
    <col min="14602" max="14602" width="16.44140625" style="107" bestFit="1" customWidth="1"/>
    <col min="14603" max="14845" width="7.88671875" style="107"/>
    <col min="14846" max="14846" width="29.33203125" style="107" customWidth="1"/>
    <col min="14847" max="14847" width="14.44140625" style="107" customWidth="1"/>
    <col min="14848" max="14848" width="16" style="107" customWidth="1"/>
    <col min="14849" max="14850" width="13.6640625" style="107" customWidth="1"/>
    <col min="14851" max="14851" width="16.88671875" style="107" customWidth="1"/>
    <col min="14852" max="14852" width="15.109375" style="107" customWidth="1"/>
    <col min="14853" max="14853" width="13.6640625" style="107" customWidth="1"/>
    <col min="14854" max="14854" width="17" style="107" customWidth="1"/>
    <col min="14855" max="14855" width="13.109375" style="107" bestFit="1" customWidth="1"/>
    <col min="14856" max="14856" width="7.88671875" style="107"/>
    <col min="14857" max="14857" width="14.33203125" style="107" bestFit="1" customWidth="1"/>
    <col min="14858" max="14858" width="16.44140625" style="107" bestFit="1" customWidth="1"/>
    <col min="14859" max="15101" width="7.88671875" style="107"/>
    <col min="15102" max="15102" width="29.33203125" style="107" customWidth="1"/>
    <col min="15103" max="15103" width="14.44140625" style="107" customWidth="1"/>
    <col min="15104" max="15104" width="16" style="107" customWidth="1"/>
    <col min="15105" max="15106" width="13.6640625" style="107" customWidth="1"/>
    <col min="15107" max="15107" width="16.88671875" style="107" customWidth="1"/>
    <col min="15108" max="15108" width="15.109375" style="107" customWidth="1"/>
    <col min="15109" max="15109" width="13.6640625" style="107" customWidth="1"/>
    <col min="15110" max="15110" width="17" style="107" customWidth="1"/>
    <col min="15111" max="15111" width="13.109375" style="107" bestFit="1" customWidth="1"/>
    <col min="15112" max="15112" width="7.88671875" style="107"/>
    <col min="15113" max="15113" width="14.33203125" style="107" bestFit="1" customWidth="1"/>
    <col min="15114" max="15114" width="16.44140625" style="107" bestFit="1" customWidth="1"/>
    <col min="15115" max="15357" width="7.88671875" style="107"/>
    <col min="15358" max="15358" width="29.33203125" style="107" customWidth="1"/>
    <col min="15359" max="15359" width="14.44140625" style="107" customWidth="1"/>
    <col min="15360" max="15360" width="16" style="107" customWidth="1"/>
    <col min="15361" max="15362" width="13.6640625" style="107" customWidth="1"/>
    <col min="15363" max="15363" width="16.88671875" style="107" customWidth="1"/>
    <col min="15364" max="15364" width="15.109375" style="107" customWidth="1"/>
    <col min="15365" max="15365" width="13.6640625" style="107" customWidth="1"/>
    <col min="15366" max="15366" width="17" style="107" customWidth="1"/>
    <col min="15367" max="15367" width="13.109375" style="107" bestFit="1" customWidth="1"/>
    <col min="15368" max="15368" width="7.88671875" style="107"/>
    <col min="15369" max="15369" width="14.33203125" style="107" bestFit="1" customWidth="1"/>
    <col min="15370" max="15370" width="16.44140625" style="107" bestFit="1" customWidth="1"/>
    <col min="15371" max="15613" width="7.88671875" style="107"/>
    <col min="15614" max="15614" width="29.33203125" style="107" customWidth="1"/>
    <col min="15615" max="15615" width="14.44140625" style="107" customWidth="1"/>
    <col min="15616" max="15616" width="16" style="107" customWidth="1"/>
    <col min="15617" max="15618" width="13.6640625" style="107" customWidth="1"/>
    <col min="15619" max="15619" width="16.88671875" style="107" customWidth="1"/>
    <col min="15620" max="15620" width="15.109375" style="107" customWidth="1"/>
    <col min="15621" max="15621" width="13.6640625" style="107" customWidth="1"/>
    <col min="15622" max="15622" width="17" style="107" customWidth="1"/>
    <col min="15623" max="15623" width="13.109375" style="107" bestFit="1" customWidth="1"/>
    <col min="15624" max="15624" width="7.88671875" style="107"/>
    <col min="15625" max="15625" width="14.33203125" style="107" bestFit="1" customWidth="1"/>
    <col min="15626" max="15626" width="16.44140625" style="107" bestFit="1" customWidth="1"/>
    <col min="15627" max="15869" width="7.88671875" style="107"/>
    <col min="15870" max="15870" width="29.33203125" style="107" customWidth="1"/>
    <col min="15871" max="15871" width="14.44140625" style="107" customWidth="1"/>
    <col min="15872" max="15872" width="16" style="107" customWidth="1"/>
    <col min="15873" max="15874" width="13.6640625" style="107" customWidth="1"/>
    <col min="15875" max="15875" width="16.88671875" style="107" customWidth="1"/>
    <col min="15876" max="15876" width="15.109375" style="107" customWidth="1"/>
    <col min="15877" max="15877" width="13.6640625" style="107" customWidth="1"/>
    <col min="15878" max="15878" width="17" style="107" customWidth="1"/>
    <col min="15879" max="15879" width="13.109375" style="107" bestFit="1" customWidth="1"/>
    <col min="15880" max="15880" width="7.88671875" style="107"/>
    <col min="15881" max="15881" width="14.33203125" style="107" bestFit="1" customWidth="1"/>
    <col min="15882" max="15882" width="16.44140625" style="107" bestFit="1" customWidth="1"/>
    <col min="15883" max="16125" width="7.88671875" style="107"/>
    <col min="16126" max="16126" width="29.33203125" style="107" customWidth="1"/>
    <col min="16127" max="16127" width="14.44140625" style="107" customWidth="1"/>
    <col min="16128" max="16128" width="16" style="107" customWidth="1"/>
    <col min="16129" max="16130" width="13.6640625" style="107" customWidth="1"/>
    <col min="16131" max="16131" width="16.88671875" style="107" customWidth="1"/>
    <col min="16132" max="16132" width="15.109375" style="107" customWidth="1"/>
    <col min="16133" max="16133" width="13.6640625" style="107" customWidth="1"/>
    <col min="16134" max="16134" width="17" style="107" customWidth="1"/>
    <col min="16135" max="16135" width="13.109375" style="107" bestFit="1" customWidth="1"/>
    <col min="16136" max="16136" width="7.88671875" style="107"/>
    <col min="16137" max="16137" width="14.33203125" style="107" bestFit="1" customWidth="1"/>
    <col min="16138" max="16138" width="16.44140625" style="107" bestFit="1" customWidth="1"/>
    <col min="16139" max="16384" width="7.88671875" style="107"/>
  </cols>
  <sheetData>
    <row r="1" spans="1:17" s="108" customFormat="1" ht="15.75" customHeight="1" x14ac:dyDescent="0.25">
      <c r="A1" s="133" t="s">
        <v>112</v>
      </c>
      <c r="B1" s="133"/>
      <c r="C1" s="133"/>
      <c r="D1" s="135"/>
    </row>
    <row r="2" spans="1:17" s="108" customFormat="1" x14ac:dyDescent="0.25">
      <c r="A2" s="113"/>
      <c r="B2" s="112" t="s">
        <v>76</v>
      </c>
      <c r="C2" s="110" t="s">
        <v>119</v>
      </c>
      <c r="D2" s="110" t="s">
        <v>72</v>
      </c>
    </row>
    <row r="3" spans="1:17" s="108" customFormat="1" ht="13.2" x14ac:dyDescent="0.25">
      <c r="A3" s="111" t="s">
        <v>131</v>
      </c>
      <c r="B3" s="110">
        <v>1</v>
      </c>
      <c r="C3" s="110">
        <v>29.55</v>
      </c>
      <c r="D3" s="109">
        <f>B3*C3</f>
        <v>29.55</v>
      </c>
    </row>
    <row r="4" spans="1:17" s="108" customFormat="1" ht="13.2" x14ac:dyDescent="0.25">
      <c r="A4" s="111" t="s">
        <v>132</v>
      </c>
      <c r="B4" s="110">
        <v>1</v>
      </c>
      <c r="C4" s="110">
        <v>26.36</v>
      </c>
      <c r="D4" s="109">
        <f t="shared" ref="D4:D6" si="0">B4*C4</f>
        <v>26.36</v>
      </c>
    </row>
    <row r="5" spans="1:17" s="108" customFormat="1" ht="13.2" x14ac:dyDescent="0.25">
      <c r="A5" s="111" t="s">
        <v>133</v>
      </c>
      <c r="B5" s="110">
        <v>1</v>
      </c>
      <c r="C5" s="110">
        <v>12.65</v>
      </c>
      <c r="D5" s="109">
        <f t="shared" si="0"/>
        <v>12.65</v>
      </c>
    </row>
    <row r="6" spans="1:17" s="108" customFormat="1" ht="13.2" x14ac:dyDescent="0.25">
      <c r="A6" s="111" t="s">
        <v>134</v>
      </c>
      <c r="B6" s="110">
        <v>1</v>
      </c>
      <c r="C6" s="110">
        <v>12.65</v>
      </c>
      <c r="D6" s="109">
        <f t="shared" si="0"/>
        <v>12.65</v>
      </c>
    </row>
    <row r="7" spans="1:17" s="108" customFormat="1" ht="13.2" x14ac:dyDescent="0.25"/>
    <row r="8" spans="1:17" s="108" customFormat="1" ht="13.2" x14ac:dyDescent="0.25"/>
    <row r="9" spans="1:17" x14ac:dyDescent="0.25">
      <c r="A9" s="133" t="s">
        <v>127</v>
      </c>
      <c r="B9" s="133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x14ac:dyDescent="0.25">
      <c r="A10" s="113"/>
      <c r="B10" s="112" t="s">
        <v>76</v>
      </c>
      <c r="C10" s="112" t="s">
        <v>85</v>
      </c>
      <c r="D10" s="145" t="s">
        <v>72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x14ac:dyDescent="0.25">
      <c r="A11" s="111"/>
      <c r="B11" s="178"/>
      <c r="C11" s="178"/>
      <c r="D11" s="143">
        <f>B11*C11</f>
        <v>0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x14ac:dyDescent="0.25">
      <c r="A12" s="111"/>
      <c r="B12" s="178"/>
      <c r="C12" s="178"/>
      <c r="D12" s="143">
        <f t="shared" ref="D12:D15" si="1">B12*C12</f>
        <v>0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x14ac:dyDescent="0.25">
      <c r="A13" s="111"/>
      <c r="B13" s="178"/>
      <c r="C13" s="178"/>
      <c r="D13" s="143">
        <f t="shared" si="1"/>
        <v>0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x14ac:dyDescent="0.25">
      <c r="A14" s="111"/>
      <c r="B14" s="178"/>
      <c r="C14" s="178"/>
      <c r="D14" s="143">
        <f t="shared" si="1"/>
        <v>0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x14ac:dyDescent="0.25">
      <c r="A15" s="111"/>
      <c r="B15" s="178"/>
      <c r="C15" s="178"/>
      <c r="D15" s="143">
        <f t="shared" si="1"/>
        <v>0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x14ac:dyDescent="0.25">
      <c r="A16" s="134"/>
      <c r="B16" s="158"/>
      <c r="C16" s="165"/>
      <c r="D16" s="165">
        <f>SUM(D10:D15)</f>
        <v>0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s="108" customFormat="1" ht="13.2" x14ac:dyDescent="0.25">
      <c r="A17" s="134"/>
      <c r="B17" s="158"/>
      <c r="C17" s="157"/>
      <c r="D17" s="136"/>
    </row>
    <row r="18" spans="1:17" x14ac:dyDescent="0.25">
      <c r="A18" s="133" t="s">
        <v>92</v>
      </c>
      <c r="B18" s="133"/>
      <c r="C18" s="133"/>
      <c r="D18" s="133"/>
      <c r="E18" s="133"/>
      <c r="F18" s="133"/>
      <c r="G18" s="133"/>
      <c r="H18" s="135"/>
      <c r="I18" s="135"/>
    </row>
    <row r="19" spans="1:17" x14ac:dyDescent="0.25">
      <c r="A19" s="113"/>
      <c r="B19" s="112" t="s">
        <v>76</v>
      </c>
      <c r="C19" s="112" t="s">
        <v>93</v>
      </c>
      <c r="D19" s="112" t="s">
        <v>94</v>
      </c>
      <c r="E19" s="112" t="s">
        <v>95</v>
      </c>
      <c r="F19" s="112" t="s">
        <v>96</v>
      </c>
      <c r="G19" s="112" t="s">
        <v>97</v>
      </c>
      <c r="H19" s="112" t="s">
        <v>100</v>
      </c>
      <c r="I19" s="112" t="s">
        <v>126</v>
      </c>
      <c r="J19" s="112" t="s">
        <v>98</v>
      </c>
      <c r="K19" s="112" t="s">
        <v>99</v>
      </c>
      <c r="L19" s="112" t="s">
        <v>103</v>
      </c>
      <c r="M19" s="112" t="s">
        <v>101</v>
      </c>
      <c r="N19" s="112" t="s">
        <v>102</v>
      </c>
      <c r="O19" s="112" t="s">
        <v>124</v>
      </c>
      <c r="P19" s="112" t="s">
        <v>125</v>
      </c>
      <c r="Q19" s="142" t="s">
        <v>72</v>
      </c>
    </row>
    <row r="20" spans="1:17" x14ac:dyDescent="0.25">
      <c r="A20" s="111" t="s">
        <v>82</v>
      </c>
      <c r="B20" s="110"/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120</v>
      </c>
      <c r="J20" s="144">
        <v>30</v>
      </c>
      <c r="K20" s="144">
        <v>0</v>
      </c>
      <c r="L20" s="144">
        <v>30</v>
      </c>
      <c r="M20" s="144">
        <v>60</v>
      </c>
      <c r="N20" s="144">
        <v>60</v>
      </c>
      <c r="O20" s="144">
        <v>90</v>
      </c>
      <c r="P20" s="144">
        <v>140</v>
      </c>
      <c r="Q20" s="143">
        <f>B20*SUM(C20:P20)</f>
        <v>0</v>
      </c>
    </row>
    <row r="21" spans="1:17" x14ac:dyDescent="0.25">
      <c r="A21" s="111" t="s">
        <v>118</v>
      </c>
      <c r="B21" s="110"/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3">
        <f>B21*SUM(C21:P21)</f>
        <v>0</v>
      </c>
    </row>
    <row r="22" spans="1:17" x14ac:dyDescent="0.25">
      <c r="A22" s="111" t="s">
        <v>116</v>
      </c>
      <c r="B22" s="110"/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30</v>
      </c>
      <c r="K22" s="144">
        <v>0</v>
      </c>
      <c r="L22" s="144">
        <v>30</v>
      </c>
      <c r="M22" s="144">
        <v>0</v>
      </c>
      <c r="N22" s="144">
        <v>0</v>
      </c>
      <c r="O22" s="144">
        <v>90</v>
      </c>
      <c r="P22" s="144">
        <v>140</v>
      </c>
      <c r="Q22" s="143">
        <f>B22*SUM(C22:P22)</f>
        <v>0</v>
      </c>
    </row>
    <row r="23" spans="1:17" x14ac:dyDescent="0.25">
      <c r="A23" s="111" t="s">
        <v>81</v>
      </c>
      <c r="B23" s="110"/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3">
        <f>B23*SUM(C23:P23)</f>
        <v>0</v>
      </c>
    </row>
    <row r="24" spans="1:17" x14ac:dyDescent="0.25">
      <c r="A24" s="111" t="s">
        <v>80</v>
      </c>
      <c r="B24" s="110"/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3">
        <f>B24*SUM(C24:P24)</f>
        <v>0</v>
      </c>
    </row>
    <row r="25" spans="1:17" x14ac:dyDescent="0.25">
      <c r="A25" s="134"/>
      <c r="B25" s="158"/>
      <c r="C25" s="158"/>
      <c r="D25" s="158"/>
      <c r="E25" s="158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7">
        <f>SUM(Q20:Q24)</f>
        <v>0</v>
      </c>
    </row>
    <row r="26" spans="1:17" s="108" customFormat="1" ht="15.75" customHeight="1" x14ac:dyDescent="0.25">
      <c r="A26" s="133" t="s">
        <v>83</v>
      </c>
      <c r="B26" s="133"/>
      <c r="C26" s="133"/>
      <c r="D26" s="148"/>
    </row>
    <row r="27" spans="1:17" s="108" customFormat="1" x14ac:dyDescent="0.25">
      <c r="A27" s="149"/>
      <c r="B27" s="150" t="s">
        <v>76</v>
      </c>
      <c r="C27" s="151" t="s">
        <v>85</v>
      </c>
      <c r="D27" s="145" t="s">
        <v>72</v>
      </c>
    </row>
    <row r="28" spans="1:17" s="108" customFormat="1" ht="13.2" x14ac:dyDescent="0.25">
      <c r="A28" s="111" t="s">
        <v>131</v>
      </c>
      <c r="B28" s="110">
        <v>1</v>
      </c>
      <c r="C28" s="110">
        <v>1000</v>
      </c>
      <c r="D28" s="143">
        <f>B28*C28</f>
        <v>1000</v>
      </c>
    </row>
    <row r="29" spans="1:17" s="108" customFormat="1" ht="13.2" x14ac:dyDescent="0.25">
      <c r="A29" s="111" t="s">
        <v>132</v>
      </c>
      <c r="B29" s="110">
        <v>1</v>
      </c>
      <c r="C29" s="110">
        <v>1000</v>
      </c>
      <c r="D29" s="143">
        <f t="shared" ref="D29:D31" si="2">B29*C29</f>
        <v>1000</v>
      </c>
    </row>
    <row r="30" spans="1:17" s="108" customFormat="1" ht="13.2" x14ac:dyDescent="0.25">
      <c r="A30" s="111" t="s">
        <v>133</v>
      </c>
      <c r="B30" s="110">
        <v>1</v>
      </c>
      <c r="C30" s="110">
        <v>800</v>
      </c>
      <c r="D30" s="143">
        <f t="shared" si="2"/>
        <v>800</v>
      </c>
    </row>
    <row r="31" spans="1:17" s="108" customFormat="1" ht="13.2" x14ac:dyDescent="0.25">
      <c r="A31" s="111" t="s">
        <v>134</v>
      </c>
      <c r="B31" s="110">
        <v>1</v>
      </c>
      <c r="C31" s="110">
        <v>800</v>
      </c>
      <c r="D31" s="143">
        <f t="shared" si="2"/>
        <v>800</v>
      </c>
    </row>
    <row r="32" spans="1:17" s="108" customFormat="1" ht="13.2" x14ac:dyDescent="0.25">
      <c r="A32" s="134"/>
      <c r="B32" s="158"/>
      <c r="C32" s="158"/>
      <c r="D32" s="147">
        <f>SUM(D28:D31)</f>
        <v>3600</v>
      </c>
    </row>
    <row r="33" spans="1:15" s="108" customFormat="1" ht="15.75" customHeight="1" x14ac:dyDescent="0.25">
      <c r="A33" s="133" t="s">
        <v>110</v>
      </c>
      <c r="B33" s="133"/>
      <c r="C33" s="133"/>
      <c r="D33" s="148"/>
    </row>
    <row r="34" spans="1:15" s="108" customFormat="1" x14ac:dyDescent="0.25">
      <c r="A34" s="113"/>
      <c r="B34" s="112" t="s">
        <v>76</v>
      </c>
      <c r="C34" s="110" t="s">
        <v>85</v>
      </c>
      <c r="D34" s="145" t="s">
        <v>72</v>
      </c>
    </row>
    <row r="35" spans="1:15" s="108" customFormat="1" ht="13.2" x14ac:dyDescent="0.25">
      <c r="A35" s="111" t="s">
        <v>131</v>
      </c>
      <c r="B35" s="110">
        <v>1</v>
      </c>
      <c r="C35" s="163">
        <v>643.87349999999992</v>
      </c>
      <c r="D35" s="143">
        <f>B35*C35</f>
        <v>643.87349999999992</v>
      </c>
    </row>
    <row r="36" spans="1:15" s="108" customFormat="1" ht="13.2" x14ac:dyDescent="0.25">
      <c r="A36" s="111" t="s">
        <v>132</v>
      </c>
      <c r="B36" s="110">
        <v>1</v>
      </c>
      <c r="C36" s="163">
        <v>643.87349999999992</v>
      </c>
      <c r="D36" s="143">
        <f t="shared" ref="D36:D38" si="3">B36*C36</f>
        <v>643.87349999999992</v>
      </c>
    </row>
    <row r="37" spans="1:15" s="108" customFormat="1" ht="13.2" x14ac:dyDescent="0.25">
      <c r="A37" s="111" t="s">
        <v>133</v>
      </c>
      <c r="B37" s="110">
        <v>1</v>
      </c>
      <c r="C37" s="163">
        <v>643.87349999999992</v>
      </c>
      <c r="D37" s="143">
        <f t="shared" si="3"/>
        <v>643.87349999999992</v>
      </c>
    </row>
    <row r="38" spans="1:15" s="108" customFormat="1" ht="13.2" x14ac:dyDescent="0.25">
      <c r="A38" s="111" t="s">
        <v>134</v>
      </c>
      <c r="B38" s="110">
        <v>1</v>
      </c>
      <c r="C38" s="163">
        <v>643.87349999999992</v>
      </c>
      <c r="D38" s="143">
        <f t="shared" si="3"/>
        <v>643.87349999999992</v>
      </c>
    </row>
    <row r="39" spans="1:15" s="108" customFormat="1" ht="13.2" x14ac:dyDescent="0.25">
      <c r="A39" s="134"/>
      <c r="B39" s="158"/>
      <c r="C39" s="157"/>
      <c r="D39" s="147">
        <f>SUM(D35:D38)</f>
        <v>2575.4939999999997</v>
      </c>
    </row>
    <row r="40" spans="1:15" x14ac:dyDescent="0.25">
      <c r="A40" s="133" t="s">
        <v>86</v>
      </c>
      <c r="B40" s="133"/>
      <c r="C40" s="133"/>
      <c r="E40" s="108"/>
    </row>
    <row r="41" spans="1:15" x14ac:dyDescent="0.25">
      <c r="A41" s="113"/>
      <c r="B41" s="112" t="s">
        <v>76</v>
      </c>
      <c r="C41" s="112" t="s">
        <v>86</v>
      </c>
      <c r="D41" s="145" t="s">
        <v>91</v>
      </c>
      <c r="E41" s="108"/>
    </row>
    <row r="42" spans="1:15" x14ac:dyDescent="0.25">
      <c r="A42" s="111" t="s">
        <v>131</v>
      </c>
      <c r="B42" s="110">
        <v>1</v>
      </c>
      <c r="C42" s="163">
        <v>126.49999999999999</v>
      </c>
      <c r="D42" s="143">
        <f>B42*C42*2.5</f>
        <v>316.24999999999994</v>
      </c>
      <c r="E42" s="108"/>
    </row>
    <row r="43" spans="1:15" x14ac:dyDescent="0.25">
      <c r="A43" s="111" t="s">
        <v>132</v>
      </c>
      <c r="B43" s="110">
        <v>1</v>
      </c>
      <c r="C43" s="163">
        <v>126.49999999999999</v>
      </c>
      <c r="D43" s="143">
        <f t="shared" ref="D43:D45" si="4">B43*C43*2.5</f>
        <v>316.24999999999994</v>
      </c>
      <c r="E43" s="108"/>
    </row>
    <row r="44" spans="1:15" x14ac:dyDescent="0.25">
      <c r="A44" s="111" t="s">
        <v>133</v>
      </c>
      <c r="B44" s="110">
        <v>1</v>
      </c>
      <c r="C44" s="163">
        <v>126.49999999999999</v>
      </c>
      <c r="D44" s="143">
        <f t="shared" si="4"/>
        <v>316.24999999999994</v>
      </c>
      <c r="E44" s="108"/>
    </row>
    <row r="45" spans="1:15" x14ac:dyDescent="0.25">
      <c r="A45" s="111" t="s">
        <v>134</v>
      </c>
      <c r="B45" s="110">
        <v>1</v>
      </c>
      <c r="C45" s="163">
        <v>126.49999999999999</v>
      </c>
      <c r="D45" s="143">
        <f t="shared" si="4"/>
        <v>316.24999999999994</v>
      </c>
      <c r="E45" s="108"/>
      <c r="H45" s="163">
        <v>1.1499999999999999</v>
      </c>
    </row>
    <row r="46" spans="1:15" x14ac:dyDescent="0.25">
      <c r="A46" s="134"/>
      <c r="B46" s="158"/>
      <c r="C46" s="158"/>
      <c r="D46" s="147">
        <f>SUM(D42:D45)</f>
        <v>1264.9999999999998</v>
      </c>
    </row>
    <row r="47" spans="1:15" s="108" customFormat="1" ht="17.25" customHeight="1" x14ac:dyDescent="0.25">
      <c r="A47" s="133" t="s">
        <v>84</v>
      </c>
      <c r="B47" s="133"/>
      <c r="C47" s="133"/>
      <c r="D47" s="133"/>
      <c r="E47" s="133"/>
      <c r="F47" s="133"/>
      <c r="G47" s="133"/>
      <c r="H47" s="135"/>
      <c r="I47" s="135"/>
    </row>
    <row r="48" spans="1:15" x14ac:dyDescent="0.25">
      <c r="A48" s="113"/>
      <c r="B48" s="112" t="s">
        <v>76</v>
      </c>
      <c r="C48" s="112" t="s">
        <v>87</v>
      </c>
      <c r="D48" s="112" t="s">
        <v>104</v>
      </c>
      <c r="E48" s="112" t="s">
        <v>88</v>
      </c>
      <c r="F48" s="112" t="s">
        <v>89</v>
      </c>
      <c r="G48" s="112" t="s">
        <v>90</v>
      </c>
      <c r="H48" s="112" t="s">
        <v>105</v>
      </c>
      <c r="I48" s="112" t="s">
        <v>106</v>
      </c>
      <c r="J48" s="112" t="s">
        <v>107</v>
      </c>
      <c r="K48" s="167" t="s">
        <v>130</v>
      </c>
      <c r="L48" s="112" t="s">
        <v>108</v>
      </c>
      <c r="M48" s="112" t="s">
        <v>109</v>
      </c>
      <c r="N48" s="167" t="s">
        <v>129</v>
      </c>
      <c r="O48" s="145" t="s">
        <v>72</v>
      </c>
    </row>
    <row r="49" spans="1:15" x14ac:dyDescent="0.25">
      <c r="A49" s="111" t="s">
        <v>131</v>
      </c>
      <c r="B49" s="110">
        <v>1</v>
      </c>
      <c r="C49" s="163">
        <v>67.849999999999994</v>
      </c>
      <c r="D49" s="163">
        <v>12.1555</v>
      </c>
      <c r="E49" s="163">
        <f>(90)*1.15</f>
        <v>103.49999999999999</v>
      </c>
      <c r="F49" s="163">
        <v>62.364499999999992</v>
      </c>
      <c r="G49" s="163">
        <f>(242.98)*1.15</f>
        <v>279.42699999999996</v>
      </c>
      <c r="H49" s="163">
        <v>2.8635000000000002</v>
      </c>
      <c r="I49" s="170">
        <v>30</v>
      </c>
      <c r="J49" s="144">
        <f t="shared" ref="J49:J52" si="5">3*2*40</f>
        <v>240</v>
      </c>
      <c r="K49" s="168">
        <v>250</v>
      </c>
      <c r="L49" s="163">
        <v>0</v>
      </c>
      <c r="M49" s="170">
        <v>24.15</v>
      </c>
      <c r="N49" s="169">
        <v>0</v>
      </c>
      <c r="O49" s="143">
        <f>B49*(SUM(C49:N49))</f>
        <v>1072.3105</v>
      </c>
    </row>
    <row r="50" spans="1:15" x14ac:dyDescent="0.25">
      <c r="A50" s="111" t="s">
        <v>132</v>
      </c>
      <c r="B50" s="110">
        <v>1</v>
      </c>
      <c r="C50" s="163">
        <v>67.849999999999994</v>
      </c>
      <c r="D50" s="163">
        <v>12.1555</v>
      </c>
      <c r="E50" s="163">
        <f>(90)*1.15</f>
        <v>103.49999999999999</v>
      </c>
      <c r="F50" s="163">
        <v>62.364499999999992</v>
      </c>
      <c r="G50" s="163">
        <f>(242.98)*1.15</f>
        <v>279.42699999999996</v>
      </c>
      <c r="H50" s="163">
        <v>2.8635000000000002</v>
      </c>
      <c r="I50" s="170">
        <v>30</v>
      </c>
      <c r="J50" s="144">
        <f t="shared" si="5"/>
        <v>240</v>
      </c>
      <c r="K50" s="168">
        <v>250</v>
      </c>
      <c r="L50" s="163">
        <v>0</v>
      </c>
      <c r="M50" s="170">
        <v>24.15</v>
      </c>
      <c r="N50" s="169">
        <v>0</v>
      </c>
      <c r="O50" s="143">
        <f t="shared" ref="O50:O52" si="6">B50*(SUM(C50:N50))</f>
        <v>1072.3105</v>
      </c>
    </row>
    <row r="51" spans="1:15" x14ac:dyDescent="0.25">
      <c r="A51" s="111" t="s">
        <v>133</v>
      </c>
      <c r="B51" s="110">
        <v>1</v>
      </c>
      <c r="C51" s="163">
        <v>67.849999999999994</v>
      </c>
      <c r="D51" s="163">
        <v>12.1555</v>
      </c>
      <c r="E51" s="163">
        <f>(90)*1.15</f>
        <v>103.49999999999999</v>
      </c>
      <c r="F51" s="163">
        <v>62.364499999999992</v>
      </c>
      <c r="G51" s="163">
        <f>(242.98)*1.15</f>
        <v>279.42699999999996</v>
      </c>
      <c r="H51" s="163">
        <v>2.8635000000000002</v>
      </c>
      <c r="I51" s="170">
        <v>30</v>
      </c>
      <c r="J51" s="144">
        <f t="shared" si="5"/>
        <v>240</v>
      </c>
      <c r="K51" s="168">
        <v>250</v>
      </c>
      <c r="L51" s="163">
        <v>0</v>
      </c>
      <c r="M51" s="170">
        <v>24.15</v>
      </c>
      <c r="N51" s="169">
        <v>0</v>
      </c>
      <c r="O51" s="143">
        <f t="shared" si="6"/>
        <v>1072.3105</v>
      </c>
    </row>
    <row r="52" spans="1:15" x14ac:dyDescent="0.25">
      <c r="A52" s="111" t="s">
        <v>134</v>
      </c>
      <c r="B52" s="110">
        <v>1</v>
      </c>
      <c r="C52" s="163">
        <v>67.849999999999994</v>
      </c>
      <c r="D52" s="163">
        <v>12.1555</v>
      </c>
      <c r="E52" s="163">
        <f>(90)*1.15</f>
        <v>103.49999999999999</v>
      </c>
      <c r="F52" s="163">
        <v>62.364499999999992</v>
      </c>
      <c r="G52" s="163">
        <f>(242.98)*1.15</f>
        <v>279.42699999999996</v>
      </c>
      <c r="H52" s="163">
        <v>2.8635000000000002</v>
      </c>
      <c r="I52" s="170">
        <v>30</v>
      </c>
      <c r="J52" s="144">
        <f t="shared" si="5"/>
        <v>240</v>
      </c>
      <c r="K52" s="168">
        <v>250</v>
      </c>
      <c r="L52" s="163">
        <v>0</v>
      </c>
      <c r="M52" s="170">
        <v>24.15</v>
      </c>
      <c r="N52" s="169">
        <v>0</v>
      </c>
      <c r="O52" s="143">
        <f t="shared" si="6"/>
        <v>1072.3105</v>
      </c>
    </row>
    <row r="53" spans="1:15" x14ac:dyDescent="0.25">
      <c r="A53" s="108"/>
      <c r="B53" s="108"/>
      <c r="C53" s="108"/>
      <c r="D53" s="108"/>
      <c r="E53" s="108"/>
      <c r="O53" s="138">
        <f>SUM(O49:O52)</f>
        <v>4289.2420000000002</v>
      </c>
    </row>
    <row r="54" spans="1:15" s="108" customFormat="1" ht="17.25" customHeight="1" x14ac:dyDescent="0.25">
      <c r="A54" s="133" t="s">
        <v>111</v>
      </c>
      <c r="B54" s="133"/>
      <c r="C54" s="133"/>
      <c r="D54" s="133"/>
    </row>
    <row r="55" spans="1:15" x14ac:dyDescent="0.25">
      <c r="A55" s="113"/>
      <c r="B55" s="112" t="s">
        <v>76</v>
      </c>
      <c r="C55" s="112" t="s">
        <v>117</v>
      </c>
      <c r="D55" s="145" t="s">
        <v>72</v>
      </c>
    </row>
    <row r="56" spans="1:15" x14ac:dyDescent="0.25">
      <c r="A56" s="111" t="s">
        <v>131</v>
      </c>
      <c r="B56" s="110">
        <v>1</v>
      </c>
      <c r="C56" s="163">
        <v>4.5</v>
      </c>
      <c r="D56" s="143">
        <f>B56*C56*40</f>
        <v>180</v>
      </c>
    </row>
    <row r="57" spans="1:15" x14ac:dyDescent="0.25">
      <c r="A57" s="111" t="s">
        <v>132</v>
      </c>
      <c r="B57" s="110">
        <v>1</v>
      </c>
      <c r="C57" s="163">
        <v>4.5</v>
      </c>
      <c r="D57" s="143">
        <f t="shared" ref="D57:D59" si="7">B57*C57*40</f>
        <v>180</v>
      </c>
    </row>
    <row r="58" spans="1:15" x14ac:dyDescent="0.25">
      <c r="A58" s="111" t="s">
        <v>133</v>
      </c>
      <c r="B58" s="110">
        <v>1</v>
      </c>
      <c r="C58" s="163">
        <v>4.5</v>
      </c>
      <c r="D58" s="143">
        <f t="shared" si="7"/>
        <v>180</v>
      </c>
    </row>
    <row r="59" spans="1:15" x14ac:dyDescent="0.25">
      <c r="A59" s="111" t="s">
        <v>134</v>
      </c>
      <c r="B59" s="110">
        <v>1</v>
      </c>
      <c r="C59" s="163">
        <v>4.5</v>
      </c>
      <c r="D59" s="143">
        <f t="shared" si="7"/>
        <v>180</v>
      </c>
    </row>
    <row r="60" spans="1:15" x14ac:dyDescent="0.25">
      <c r="A60" s="134"/>
      <c r="B60" s="158"/>
      <c r="C60" s="158"/>
      <c r="D60" s="147">
        <f>SUM(D56:D59)</f>
        <v>720</v>
      </c>
    </row>
    <row r="61" spans="1:15" s="108" customFormat="1" ht="15.75" customHeight="1" x14ac:dyDescent="0.25">
      <c r="A61" s="133" t="s">
        <v>113</v>
      </c>
      <c r="B61" s="133"/>
      <c r="C61" s="133"/>
      <c r="D61" s="133"/>
      <c r="E61" s="133"/>
      <c r="F61" s="133"/>
      <c r="G61" s="133"/>
      <c r="H61" s="114"/>
      <c r="J61" s="115"/>
    </row>
    <row r="62" spans="1:15" s="108" customFormat="1" x14ac:dyDescent="0.25">
      <c r="A62" s="113"/>
      <c r="B62" s="112" t="s">
        <v>76</v>
      </c>
      <c r="C62" s="112" t="s">
        <v>75</v>
      </c>
      <c r="D62" s="110" t="s">
        <v>77</v>
      </c>
      <c r="E62" s="110" t="s">
        <v>74</v>
      </c>
      <c r="F62" s="110" t="s">
        <v>73</v>
      </c>
      <c r="G62" s="145" t="s">
        <v>72</v>
      </c>
      <c r="H62" s="114"/>
      <c r="J62" s="115"/>
    </row>
    <row r="63" spans="1:15" s="108" customFormat="1" ht="13.2" x14ac:dyDescent="0.25">
      <c r="A63" s="111" t="s">
        <v>131</v>
      </c>
      <c r="B63" s="110">
        <v>1</v>
      </c>
      <c r="C63" s="140">
        <v>40</v>
      </c>
      <c r="D63" s="170">
        <v>9.0591249999999981</v>
      </c>
      <c r="E63" s="170">
        <f>(((16.67+10.04))*1.15)*1.15</f>
        <v>35.323974999999997</v>
      </c>
      <c r="F63" s="141">
        <v>0</v>
      </c>
      <c r="G63" s="143">
        <f>B63*C63*(D63+E63+F63)</f>
        <v>1775.3240000000001</v>
      </c>
      <c r="H63" s="114"/>
    </row>
    <row r="64" spans="1:15" s="108" customFormat="1" ht="13.2" x14ac:dyDescent="0.25">
      <c r="A64" s="111" t="s">
        <v>132</v>
      </c>
      <c r="B64" s="110">
        <v>1</v>
      </c>
      <c r="C64" s="140">
        <v>40</v>
      </c>
      <c r="D64" s="170">
        <v>9.0591249999999981</v>
      </c>
      <c r="E64" s="170">
        <f>(((16.67+10.04))*1.15)*1.15</f>
        <v>35.323974999999997</v>
      </c>
      <c r="F64" s="141">
        <v>0</v>
      </c>
      <c r="G64" s="143">
        <f t="shared" ref="G64:G66" si="8">B64*C64*(D64+E64+F64)</f>
        <v>1775.3240000000001</v>
      </c>
      <c r="H64" s="114"/>
    </row>
    <row r="65" spans="1:17" s="108" customFormat="1" ht="13.2" x14ac:dyDescent="0.25">
      <c r="A65" s="111" t="s">
        <v>133</v>
      </c>
      <c r="B65" s="110">
        <v>1</v>
      </c>
      <c r="C65" s="140">
        <v>40</v>
      </c>
      <c r="D65" s="170">
        <v>9.0591249999999981</v>
      </c>
      <c r="E65" s="170">
        <f>(((16.67+10.04))*1.15)*1.15</f>
        <v>35.323974999999997</v>
      </c>
      <c r="F65" s="141">
        <v>0</v>
      </c>
      <c r="G65" s="143">
        <f t="shared" si="8"/>
        <v>1775.3240000000001</v>
      </c>
      <c r="H65" s="114"/>
    </row>
    <row r="66" spans="1:17" s="108" customFormat="1" ht="13.2" x14ac:dyDescent="0.25">
      <c r="A66" s="111" t="s">
        <v>134</v>
      </c>
      <c r="B66" s="110">
        <v>1</v>
      </c>
      <c r="C66" s="140">
        <v>40</v>
      </c>
      <c r="D66" s="170">
        <v>9.0591249999999981</v>
      </c>
      <c r="E66" s="170">
        <f>(((16.67+10.04))*1.15)*1.15</f>
        <v>35.323974999999997</v>
      </c>
      <c r="F66" s="141">
        <v>0</v>
      </c>
      <c r="G66" s="143">
        <f t="shared" si="8"/>
        <v>1775.3240000000001</v>
      </c>
      <c r="H66" s="114"/>
    </row>
    <row r="67" spans="1:17" s="108" customFormat="1" ht="13.2" x14ac:dyDescent="0.25">
      <c r="A67" s="111"/>
      <c r="B67" s="110"/>
      <c r="C67" s="140"/>
      <c r="D67" s="170"/>
      <c r="E67" s="170"/>
      <c r="F67" s="141"/>
      <c r="G67" s="143"/>
      <c r="H67" s="114"/>
    </row>
    <row r="68" spans="1:17" s="108" customFormat="1" ht="13.2" x14ac:dyDescent="0.25">
      <c r="A68" s="134"/>
      <c r="B68" s="158"/>
      <c r="C68" s="157"/>
      <c r="D68" s="137"/>
      <c r="G68" s="147">
        <f>SUM(G63:G67)</f>
        <v>7101.2960000000003</v>
      </c>
    </row>
    <row r="69" spans="1:17" s="108" customFormat="1" ht="13.2" x14ac:dyDescent="0.25"/>
    <row r="70" spans="1:17" x14ac:dyDescent="0.25">
      <c r="A70" s="133" t="s">
        <v>147</v>
      </c>
      <c r="B70" s="133"/>
      <c r="C70" s="133"/>
      <c r="D70" s="135"/>
      <c r="Q70" s="108"/>
    </row>
    <row r="71" spans="1:17" x14ac:dyDescent="0.25">
      <c r="A71" s="113"/>
      <c r="B71" s="112" t="s">
        <v>76</v>
      </c>
      <c r="C71" s="110" t="s">
        <v>119</v>
      </c>
      <c r="D71" s="110" t="s">
        <v>72</v>
      </c>
      <c r="E71" s="108"/>
      <c r="F71" s="108"/>
      <c r="Q71" s="108"/>
    </row>
    <row r="72" spans="1:17" x14ac:dyDescent="0.25">
      <c r="A72" s="111" t="s">
        <v>131</v>
      </c>
      <c r="B72" s="110"/>
      <c r="C72" s="110">
        <v>29.55</v>
      </c>
      <c r="D72" s="143">
        <f>B72*220*C72*1.3</f>
        <v>0</v>
      </c>
      <c r="Q72" s="108"/>
    </row>
    <row r="73" spans="1:17" x14ac:dyDescent="0.25">
      <c r="A73" s="111" t="s">
        <v>132</v>
      </c>
      <c r="B73" s="110">
        <v>1</v>
      </c>
      <c r="C73" s="110">
        <v>26.36</v>
      </c>
      <c r="D73" s="143">
        <f t="shared" ref="D73:D75" si="9">B73*220*C73*1.3</f>
        <v>7538.96</v>
      </c>
      <c r="Q73" s="108"/>
    </row>
    <row r="74" spans="1:17" x14ac:dyDescent="0.25">
      <c r="A74" s="111" t="s">
        <v>133</v>
      </c>
      <c r="B74" s="110">
        <v>1</v>
      </c>
      <c r="C74" s="110">
        <v>12.65</v>
      </c>
      <c r="D74" s="143">
        <f t="shared" si="9"/>
        <v>3617.9</v>
      </c>
      <c r="Q74" s="108"/>
    </row>
    <row r="75" spans="1:17" x14ac:dyDescent="0.25">
      <c r="A75" s="111" t="s">
        <v>134</v>
      </c>
      <c r="B75" s="110"/>
      <c r="C75" s="110">
        <v>12.65</v>
      </c>
      <c r="D75" s="143">
        <f t="shared" si="9"/>
        <v>0</v>
      </c>
      <c r="Q75" s="108"/>
    </row>
    <row r="76" spans="1:17" x14ac:dyDescent="0.25">
      <c r="D76" s="147">
        <f>SUM(D72:D75)</f>
        <v>11156.86</v>
      </c>
    </row>
  </sheetData>
  <pageMargins left="0.511811024" right="0.511811024" top="0.78740157499999996" bottom="0.78740157499999996" header="0.31496062000000002" footer="0.31496062000000002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DFP MOD</vt:lpstr>
      <vt:lpstr>BASE MOD</vt:lpstr>
      <vt:lpstr>DFP MOI</vt:lpstr>
      <vt:lpstr>BASE MOI</vt:lpstr>
      <vt:lpstr>'DFP MOD'!Area_de_impressao</vt:lpstr>
      <vt:lpstr>'DFP MOI'!Area_de_impressao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lvnf@msn.com</cp:lastModifiedBy>
  <cp:lastPrinted>2021-12-15T12:18:43Z</cp:lastPrinted>
  <dcterms:created xsi:type="dcterms:W3CDTF">2015-06-16T16:59:49Z</dcterms:created>
  <dcterms:modified xsi:type="dcterms:W3CDTF">2022-07-18T19:46:51Z</dcterms:modified>
</cp:coreProperties>
</file>