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embeddings/oleObject8.bin" ContentType="application/vnd.openxmlformats-officedocument.oleObject"/>
  <Override PartName="/xl/comments4.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omments5.xml" ContentType="application/vnd.openxmlformats-officedocument.spreadsheetml.comments+xml"/>
  <Override PartName="/xl/drawings/drawing12.xml" ContentType="application/vnd.openxmlformats-officedocument.drawing+xml"/>
  <Override PartName="/xl/tables/table1.xml" ContentType="application/vnd.openxmlformats-officedocument.spreadsheetml.table+xml"/>
  <Override PartName="/xl/drawings/drawing13.xml" ContentType="application/vnd.openxmlformats-officedocument.drawing+xml"/>
  <Override PartName="/xl/comments6.xml" ContentType="application/vnd.openxmlformats-officedocument.spreadsheetml.comments+xml"/>
  <Override PartName="/xl/drawings/drawing14.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5.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6.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omments8.xml" ContentType="application/vnd.openxmlformats-officedocument.spreadsheetml.comment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9.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0.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1.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EstaPastaDeTrabalho" defaultThemeVersion="166925"/>
  <mc:AlternateContent xmlns:mc="http://schemas.openxmlformats.org/markup-compatibility/2006">
    <mc:Choice Requires="x15">
      <x15ac:absPath xmlns:x15ac="http://schemas.microsoft.com/office/spreadsheetml/2010/11/ac" url="C:\Users\Risoterm Wilian\Downloads\"/>
    </mc:Choice>
  </mc:AlternateContent>
  <xr:revisionPtr revIDLastSave="0" documentId="13_ncr:1_{A94DBBA8-F013-468B-951E-A67125A4F3F3}" xr6:coauthVersionLast="47" xr6:coauthVersionMax="47" xr10:uidLastSave="{00000000-0000-0000-0000-000000000000}"/>
  <bookViews>
    <workbookView xWindow="-108" yWindow="-108" windowWidth="23256" windowHeight="12456" tabRatio="847" firstSheet="2" activeTab="14" xr2:uid="{00000000-000D-0000-FFFF-FFFF00000000}"/>
  </bookViews>
  <sheets>
    <sheet name="RESUMO_CAPA  " sheetId="15" state="hidden" r:id="rId1"/>
    <sheet name="AS" sheetId="14" state="hidden" r:id="rId2"/>
    <sheet name="INFO" sheetId="40" r:id="rId3"/>
    <sheet name="FOTOS" sheetId="9" state="hidden" r:id="rId4"/>
    <sheet name="LINHAS anterior" sheetId="1" state="hidden" r:id="rId5"/>
    <sheet name="RESUMO" sheetId="8" state="hidden" r:id="rId6"/>
    <sheet name="EQUIPAMENTOS " sheetId="2" state="hidden" r:id="rId7"/>
    <sheet name="CURVA" sheetId="16" state="hidden" r:id="rId8"/>
    <sheet name="MEM. xxxx" sheetId="3" state="hidden" r:id="rId9"/>
    <sheet name="TUB. PU" sheetId="46" r:id="rId10"/>
    <sheet name="PID" sheetId="4" state="hidden" r:id="rId11"/>
    <sheet name="base dados" sheetId="30" r:id="rId12"/>
    <sheet name="HISTOGRAMA" sheetId="47" r:id="rId13"/>
    <sheet name="PREÇOS MERCADO" sheetId="48" r:id="rId14"/>
    <sheet name="TOTAL SERVIÇO + MATERIAL" sheetId="50" r:id="rId15"/>
    <sheet name="tabela isol quente" sheetId="5" state="hidden" r:id="rId16"/>
    <sheet name="tabela isol frio" sheetId="6" state="hidden" r:id="rId17"/>
    <sheet name="esp" sheetId="7" state="hidden" r:id="rId18"/>
    <sheet name="LINHAS - LEVANTAMENTO" sheetId="11" state="hidden" r:id="rId19"/>
    <sheet name="Cálc economia (cheio)" sheetId="17" state="hidden" r:id="rId20"/>
    <sheet name="Cálc economia (25%)" sheetId="18" state="hidden" r:id="rId21"/>
    <sheet name="calc. perda energ" sheetId="20" state="hidden"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DA" localSheetId="12">[1]FONTE!$B$41:$B$293</definedName>
    <definedName name="\DA" localSheetId="14">[1]FONTE!$B$41:$B$293</definedName>
    <definedName name="\DA" localSheetId="9">#REF!</definedName>
    <definedName name="\DA">#REF!</definedName>
    <definedName name="____________dd1" localSheetId="11" hidden="1">{#N/A,#N/A,FALSE,"ET-CAPA";#N/A,#N/A,FALSE,"ET-PAG1";#N/A,#N/A,FALSE,"ET-PAG2";#N/A,#N/A,FALSE,"ET-PAG3";#N/A,#N/A,FALSE,"ET-PAG4";#N/A,#N/A,FALSE,"ET-PAG5"}</definedName>
    <definedName name="____________dd1" localSheetId="12" hidden="1">{#N/A,#N/A,FALSE,"ET-CAPA";#N/A,#N/A,FALSE,"ET-PAG1";#N/A,#N/A,FALSE,"ET-PAG2";#N/A,#N/A,FALSE,"ET-PAG3";#N/A,#N/A,FALSE,"ET-PAG4";#N/A,#N/A,FALSE,"ET-PAG5"}</definedName>
    <definedName name="____________dd1" localSheetId="14" hidden="1">{#N/A,#N/A,FALSE,"ET-CAPA";#N/A,#N/A,FALSE,"ET-PAG1";#N/A,#N/A,FALSE,"ET-PAG2";#N/A,#N/A,FALSE,"ET-PAG3";#N/A,#N/A,FALSE,"ET-PAG4";#N/A,#N/A,FALSE,"ET-PAG5"}</definedName>
    <definedName name="____________dd1" localSheetId="9" hidden="1">{#N/A,#N/A,FALSE,"ET-CAPA";#N/A,#N/A,FALSE,"ET-PAG1";#N/A,#N/A,FALSE,"ET-PAG2";#N/A,#N/A,FALSE,"ET-PAG3";#N/A,#N/A,FALSE,"ET-PAG4";#N/A,#N/A,FALSE,"ET-PAG5"}</definedName>
    <definedName name="____________dd1" hidden="1">{#N/A,#N/A,FALSE,"ET-CAPA";#N/A,#N/A,FALSE,"ET-PAG1";#N/A,#N/A,FALSE,"ET-PAG2";#N/A,#N/A,FALSE,"ET-PAG3";#N/A,#N/A,FALSE,"ET-PAG4";#N/A,#N/A,FALSE,"ET-PAG5"}</definedName>
    <definedName name="___________dd1" localSheetId="11" hidden="1">{#N/A,#N/A,FALSE,"ET-CAPA";#N/A,#N/A,FALSE,"ET-PAG1";#N/A,#N/A,FALSE,"ET-PAG2";#N/A,#N/A,FALSE,"ET-PAG3";#N/A,#N/A,FALSE,"ET-PAG4";#N/A,#N/A,FALSE,"ET-PAG5"}</definedName>
    <definedName name="___________dd1" localSheetId="12" hidden="1">{#N/A,#N/A,FALSE,"ET-CAPA";#N/A,#N/A,FALSE,"ET-PAG1";#N/A,#N/A,FALSE,"ET-PAG2";#N/A,#N/A,FALSE,"ET-PAG3";#N/A,#N/A,FALSE,"ET-PAG4";#N/A,#N/A,FALSE,"ET-PAG5"}</definedName>
    <definedName name="___________dd1" localSheetId="14" hidden="1">{#N/A,#N/A,FALSE,"ET-CAPA";#N/A,#N/A,FALSE,"ET-PAG1";#N/A,#N/A,FALSE,"ET-PAG2";#N/A,#N/A,FALSE,"ET-PAG3";#N/A,#N/A,FALSE,"ET-PAG4";#N/A,#N/A,FALSE,"ET-PAG5"}</definedName>
    <definedName name="___________dd1" localSheetId="9" hidden="1">{#N/A,#N/A,FALSE,"ET-CAPA";#N/A,#N/A,FALSE,"ET-PAG1";#N/A,#N/A,FALSE,"ET-PAG2";#N/A,#N/A,FALSE,"ET-PAG3";#N/A,#N/A,FALSE,"ET-PAG4";#N/A,#N/A,FALSE,"ET-PAG5"}</definedName>
    <definedName name="___________dd1" hidden="1">{#N/A,#N/A,FALSE,"ET-CAPA";#N/A,#N/A,FALSE,"ET-PAG1";#N/A,#N/A,FALSE,"ET-PAG2";#N/A,#N/A,FALSE,"ET-PAG3";#N/A,#N/A,FALSE,"ET-PAG4";#N/A,#N/A,FALSE,"ET-PAG5"}</definedName>
    <definedName name="__________dd1" localSheetId="11" hidden="1">{#N/A,#N/A,FALSE,"ET-CAPA";#N/A,#N/A,FALSE,"ET-PAG1";#N/A,#N/A,FALSE,"ET-PAG2";#N/A,#N/A,FALSE,"ET-PAG3";#N/A,#N/A,FALSE,"ET-PAG4";#N/A,#N/A,FALSE,"ET-PAG5"}</definedName>
    <definedName name="__________dd1" localSheetId="12" hidden="1">{#N/A,#N/A,FALSE,"ET-CAPA";#N/A,#N/A,FALSE,"ET-PAG1";#N/A,#N/A,FALSE,"ET-PAG2";#N/A,#N/A,FALSE,"ET-PAG3";#N/A,#N/A,FALSE,"ET-PAG4";#N/A,#N/A,FALSE,"ET-PAG5"}</definedName>
    <definedName name="__________dd1" localSheetId="14" hidden="1">{#N/A,#N/A,FALSE,"ET-CAPA";#N/A,#N/A,FALSE,"ET-PAG1";#N/A,#N/A,FALSE,"ET-PAG2";#N/A,#N/A,FALSE,"ET-PAG3";#N/A,#N/A,FALSE,"ET-PAG4";#N/A,#N/A,FALSE,"ET-PAG5"}</definedName>
    <definedName name="__________dd1" localSheetId="9" hidden="1">{#N/A,#N/A,FALSE,"ET-CAPA";#N/A,#N/A,FALSE,"ET-PAG1";#N/A,#N/A,FALSE,"ET-PAG2";#N/A,#N/A,FALSE,"ET-PAG3";#N/A,#N/A,FALSE,"ET-PAG4";#N/A,#N/A,FALSE,"ET-PAG5"}</definedName>
    <definedName name="__________dd1" hidden="1">{#N/A,#N/A,FALSE,"ET-CAPA";#N/A,#N/A,FALSE,"ET-PAG1";#N/A,#N/A,FALSE,"ET-PAG2";#N/A,#N/A,FALSE,"ET-PAG3";#N/A,#N/A,FALSE,"ET-PAG4";#N/A,#N/A,FALSE,"ET-PAG5"}</definedName>
    <definedName name="_________dd1" localSheetId="11" hidden="1">{#N/A,#N/A,FALSE,"ET-CAPA";#N/A,#N/A,FALSE,"ET-PAG1";#N/A,#N/A,FALSE,"ET-PAG2";#N/A,#N/A,FALSE,"ET-PAG3";#N/A,#N/A,FALSE,"ET-PAG4";#N/A,#N/A,FALSE,"ET-PAG5"}</definedName>
    <definedName name="_________dd1" localSheetId="12" hidden="1">{#N/A,#N/A,FALSE,"ET-CAPA";#N/A,#N/A,FALSE,"ET-PAG1";#N/A,#N/A,FALSE,"ET-PAG2";#N/A,#N/A,FALSE,"ET-PAG3";#N/A,#N/A,FALSE,"ET-PAG4";#N/A,#N/A,FALSE,"ET-PAG5"}</definedName>
    <definedName name="_________dd1" localSheetId="14" hidden="1">{#N/A,#N/A,FALSE,"ET-CAPA";#N/A,#N/A,FALSE,"ET-PAG1";#N/A,#N/A,FALSE,"ET-PAG2";#N/A,#N/A,FALSE,"ET-PAG3";#N/A,#N/A,FALSE,"ET-PAG4";#N/A,#N/A,FALSE,"ET-PAG5"}</definedName>
    <definedName name="_________dd1" localSheetId="9" hidden="1">{#N/A,#N/A,FALSE,"ET-CAPA";#N/A,#N/A,FALSE,"ET-PAG1";#N/A,#N/A,FALSE,"ET-PAG2";#N/A,#N/A,FALSE,"ET-PAG3";#N/A,#N/A,FALSE,"ET-PAG4";#N/A,#N/A,FALSE,"ET-PAG5"}</definedName>
    <definedName name="_________dd1" hidden="1">{#N/A,#N/A,FALSE,"ET-CAPA";#N/A,#N/A,FALSE,"ET-PAG1";#N/A,#N/A,FALSE,"ET-PAG2";#N/A,#N/A,FALSE,"ET-PAG3";#N/A,#N/A,FALSE,"ET-PAG4";#N/A,#N/A,FALSE,"ET-PAG5"}</definedName>
    <definedName name="________aux1" localSheetId="12">[2]Resumo!#REF!</definedName>
    <definedName name="________aux1" localSheetId="14">[3]Resumo!#REF!</definedName>
    <definedName name="________aux1" localSheetId="9">#REF!</definedName>
    <definedName name="________aux1">#REF!</definedName>
    <definedName name="________aux2" localSheetId="12">[2]Resumo!#REF!</definedName>
    <definedName name="________aux2" localSheetId="14">[3]Resumo!#REF!</definedName>
    <definedName name="________aux2" localSheetId="9">#REF!</definedName>
    <definedName name="________aux2">#REF!</definedName>
    <definedName name="________aux5" localSheetId="12">[2]Resumo!#REF!</definedName>
    <definedName name="________aux5" localSheetId="14">[3]Resumo!#REF!</definedName>
    <definedName name="________aux5" localSheetId="9">#REF!</definedName>
    <definedName name="________aux5">#REF!</definedName>
    <definedName name="________aux6" localSheetId="12">[2]Resumo!#REF!</definedName>
    <definedName name="________aux6" localSheetId="14">[3]Resumo!#REF!</definedName>
    <definedName name="________aux6" localSheetId="9">#REF!</definedName>
    <definedName name="________aux6">#REF!</definedName>
    <definedName name="________cab1" localSheetId="12">#REF!</definedName>
    <definedName name="________cab1" localSheetId="14">#REF!</definedName>
    <definedName name="________cab1" localSheetId="9">#REF!</definedName>
    <definedName name="________cab1">#REF!</definedName>
    <definedName name="________cab3" localSheetId="12">[4]PFAB!$1:$12</definedName>
    <definedName name="________cab3" localSheetId="14">[5]PFAB!$1:$12</definedName>
    <definedName name="________cab3" localSheetId="9">#REF!</definedName>
    <definedName name="________cab3">#REF!</definedName>
    <definedName name="________cab4" localSheetId="12">[4]FERR!$1:$12</definedName>
    <definedName name="________cab4" localSheetId="14">[5]FERR!$1:$12</definedName>
    <definedName name="________cab4" localSheetId="9">#REF!</definedName>
    <definedName name="________cab4">#REF!</definedName>
    <definedName name="________cab5" localSheetId="12">[4]ISOL!$1:$12</definedName>
    <definedName name="________cab5" localSheetId="14">[5]ISOL!$1:$12</definedName>
    <definedName name="________cab5" localSheetId="9">#REF!</definedName>
    <definedName name="________cab5">#REF!</definedName>
    <definedName name="________cab6" localSheetId="12">[4]ISOL!$1:$12</definedName>
    <definedName name="________cab6" localSheetId="14">[5]ISOL!$1:$12</definedName>
    <definedName name="________cab6" localSheetId="9">#REF!</definedName>
    <definedName name="________cab6">#REF!</definedName>
    <definedName name="________cab7" localSheetId="12">#REF!</definedName>
    <definedName name="________cab7" localSheetId="14">#REF!</definedName>
    <definedName name="________cab7" localSheetId="9">#REF!</definedName>
    <definedName name="________cab7">#REF!</definedName>
    <definedName name="________DAT1" localSheetId="12">#REF!</definedName>
    <definedName name="________DAT1" localSheetId="14">#REF!</definedName>
    <definedName name="________DAT1" localSheetId="9">#REF!</definedName>
    <definedName name="________DAT1">#REF!</definedName>
    <definedName name="________DAT10" localSheetId="12">#REF!</definedName>
    <definedName name="________DAT10" localSheetId="14">#REF!</definedName>
    <definedName name="________DAT10" localSheetId="9">#REF!</definedName>
    <definedName name="________DAT10">#REF!</definedName>
    <definedName name="________DAT11" localSheetId="12">#REF!</definedName>
    <definedName name="________DAT11" localSheetId="14">#REF!</definedName>
    <definedName name="________DAT11" localSheetId="9">#REF!</definedName>
    <definedName name="________DAT11">#REF!</definedName>
    <definedName name="________DAT12" localSheetId="12">#REF!</definedName>
    <definedName name="________DAT12" localSheetId="14">#REF!</definedName>
    <definedName name="________DAT12" localSheetId="9">#REF!</definedName>
    <definedName name="________DAT12">#REF!</definedName>
    <definedName name="________DAT13" localSheetId="12">#REF!</definedName>
    <definedName name="________DAT13" localSheetId="14">#REF!</definedName>
    <definedName name="________DAT13" localSheetId="9">#REF!</definedName>
    <definedName name="________DAT13">#REF!</definedName>
    <definedName name="________DAT14" localSheetId="12">#REF!</definedName>
    <definedName name="________DAT14" localSheetId="14">#REF!</definedName>
    <definedName name="________DAT14" localSheetId="9">#REF!</definedName>
    <definedName name="________DAT14">#REF!</definedName>
    <definedName name="________DAT15" localSheetId="12">#REF!</definedName>
    <definedName name="________DAT15" localSheetId="14">#REF!</definedName>
    <definedName name="________DAT15" localSheetId="9">#REF!</definedName>
    <definedName name="________DAT15">#REF!</definedName>
    <definedName name="________DAT2" localSheetId="12">#REF!</definedName>
    <definedName name="________DAT2" localSheetId="14">#REF!</definedName>
    <definedName name="________DAT2" localSheetId="9">#REF!</definedName>
    <definedName name="________DAT2">#REF!</definedName>
    <definedName name="________DAT3" localSheetId="12">#REF!</definedName>
    <definedName name="________DAT3" localSheetId="14">#REF!</definedName>
    <definedName name="________DAT3" localSheetId="9">#REF!</definedName>
    <definedName name="________DAT3">#REF!</definedName>
    <definedName name="________DAT4" localSheetId="12">#REF!</definedName>
    <definedName name="________DAT4" localSheetId="14">#REF!</definedName>
    <definedName name="________DAT4" localSheetId="9">#REF!</definedName>
    <definedName name="________DAT4">#REF!</definedName>
    <definedName name="________DAT5" localSheetId="12">#REF!</definedName>
    <definedName name="________DAT5" localSheetId="14">#REF!</definedName>
    <definedName name="________DAT5" localSheetId="9">#REF!</definedName>
    <definedName name="________DAT5">#REF!</definedName>
    <definedName name="________DAT6" localSheetId="12">#REF!</definedName>
    <definedName name="________DAT6" localSheetId="14">#REF!</definedName>
    <definedName name="________DAT6" localSheetId="9">#REF!</definedName>
    <definedName name="________DAT6">#REF!</definedName>
    <definedName name="________DAT7" localSheetId="12">#REF!</definedName>
    <definedName name="________DAT7" localSheetId="14">#REF!</definedName>
    <definedName name="________DAT7" localSheetId="9">#REF!</definedName>
    <definedName name="________DAT7">#REF!</definedName>
    <definedName name="________DAT8" localSheetId="12">#REF!</definedName>
    <definedName name="________DAT8" localSheetId="14">#REF!</definedName>
    <definedName name="________DAT8" localSheetId="9">#REF!</definedName>
    <definedName name="________DAT8">#REF!</definedName>
    <definedName name="________DAT9" localSheetId="12">#REF!</definedName>
    <definedName name="________DAT9" localSheetId="14">#REF!</definedName>
    <definedName name="________DAT9" localSheetId="9">#REF!</definedName>
    <definedName name="________DAT9">#REF!</definedName>
    <definedName name="________dd1" localSheetId="11" hidden="1">{#N/A,#N/A,FALSE,"ET-CAPA";#N/A,#N/A,FALSE,"ET-PAG1";#N/A,#N/A,FALSE,"ET-PAG2";#N/A,#N/A,FALSE,"ET-PAG3";#N/A,#N/A,FALSE,"ET-PAG4";#N/A,#N/A,FALSE,"ET-PAG5"}</definedName>
    <definedName name="________dd1" localSheetId="12" hidden="1">{#N/A,#N/A,FALSE,"ET-CAPA";#N/A,#N/A,FALSE,"ET-PAG1";#N/A,#N/A,FALSE,"ET-PAG2";#N/A,#N/A,FALSE,"ET-PAG3";#N/A,#N/A,FALSE,"ET-PAG4";#N/A,#N/A,FALSE,"ET-PAG5"}</definedName>
    <definedName name="________dd1" localSheetId="14" hidden="1">{#N/A,#N/A,FALSE,"ET-CAPA";#N/A,#N/A,FALSE,"ET-PAG1";#N/A,#N/A,FALSE,"ET-PAG2";#N/A,#N/A,FALSE,"ET-PAG3";#N/A,#N/A,FALSE,"ET-PAG4";#N/A,#N/A,FALSE,"ET-PAG5"}</definedName>
    <definedName name="________dd1" localSheetId="9" hidden="1">{#N/A,#N/A,FALSE,"ET-CAPA";#N/A,#N/A,FALSE,"ET-PAG1";#N/A,#N/A,FALSE,"ET-PAG2";#N/A,#N/A,FALSE,"ET-PAG3";#N/A,#N/A,FALSE,"ET-PAG4";#N/A,#N/A,FALSE,"ET-PAG5"}</definedName>
    <definedName name="________dd1" hidden="1">{#N/A,#N/A,FALSE,"ET-CAPA";#N/A,#N/A,FALSE,"ET-PAG1";#N/A,#N/A,FALSE,"ET-PAG2";#N/A,#N/A,FALSE,"ET-PAG3";#N/A,#N/A,FALSE,"ET-PAG4";#N/A,#N/A,FALSE,"ET-PAG5"}</definedName>
    <definedName name="________iso1" localSheetId="12">[2]Resumo!#REF!</definedName>
    <definedName name="________iso1" localSheetId="14">[3]Resumo!#REF!</definedName>
    <definedName name="________iso1" localSheetId="9">#REF!</definedName>
    <definedName name="________iso1">#REF!</definedName>
    <definedName name="________iso11" localSheetId="12">[2]Resumo!#REF!</definedName>
    <definedName name="________iso11" localSheetId="14">[3]Resumo!#REF!</definedName>
    <definedName name="________iso11" localSheetId="9">#REF!</definedName>
    <definedName name="________iso11">#REF!</definedName>
    <definedName name="________iso2" localSheetId="12">[2]Resumo!#REF!</definedName>
    <definedName name="________iso2" localSheetId="14">[3]Resumo!#REF!</definedName>
    <definedName name="________iso2" localSheetId="9">#REF!</definedName>
    <definedName name="________iso2">#REF!</definedName>
    <definedName name="________iso5" localSheetId="12">[2]Resumo!#REF!</definedName>
    <definedName name="________iso5" localSheetId="14">[3]Resumo!#REF!</definedName>
    <definedName name="________iso5" localSheetId="9">#REF!</definedName>
    <definedName name="________iso5">#REF!</definedName>
    <definedName name="________iso6" localSheetId="12">[2]Resumo!#REF!</definedName>
    <definedName name="________iso6" localSheetId="14">[3]Resumo!#REF!</definedName>
    <definedName name="________iso6" localSheetId="9">#REF!</definedName>
    <definedName name="________iso6">#REF!</definedName>
    <definedName name="________iso8" localSheetId="12">[2]Resumo!#REF!</definedName>
    <definedName name="________iso8" localSheetId="14">[3]Resumo!#REF!</definedName>
    <definedName name="________iso8" localSheetId="9">#REF!</definedName>
    <definedName name="________iso8">#REF!</definedName>
    <definedName name="________mo2" localSheetId="12">[2]Resumo!$X$442</definedName>
    <definedName name="________mo2" localSheetId="14">[3]Resumo!$X$442</definedName>
    <definedName name="________mo2" localSheetId="9">#REF!</definedName>
    <definedName name="________mo2">#REF!</definedName>
    <definedName name="________mo3" localSheetId="12">[2]Resumo!$X$394</definedName>
    <definedName name="________mo3" localSheetId="14">[3]Resumo!$X$394</definedName>
    <definedName name="________mo3" localSheetId="9">#REF!</definedName>
    <definedName name="________mo3">#REF!</definedName>
    <definedName name="________mo5" localSheetId="12">[2]Resumo!$X$13</definedName>
    <definedName name="________mo5" localSheetId="14">[3]Resumo!$X$13</definedName>
    <definedName name="________mo5" localSheetId="9">#REF!</definedName>
    <definedName name="________mo5">#REF!</definedName>
    <definedName name="________mo6" localSheetId="12">[2]Resumo!$X$26</definedName>
    <definedName name="________mo6" localSheetId="14">[3]Resumo!$X$26</definedName>
    <definedName name="________mo6" localSheetId="9">#REF!</definedName>
    <definedName name="________mo6">#REF!</definedName>
    <definedName name="________mo7" localSheetId="12">[2]Resumo!$X$118</definedName>
    <definedName name="________mo7" localSheetId="14">[3]Resumo!$X$118</definedName>
    <definedName name="________mo7" localSheetId="9">#REF!</definedName>
    <definedName name="________mo7">#REF!</definedName>
    <definedName name="________mo9" localSheetId="12">[2]Resumo!$X$450</definedName>
    <definedName name="________mo9" localSheetId="14">[3]Resumo!$X$450</definedName>
    <definedName name="________mo9" localSheetId="9">#REF!</definedName>
    <definedName name="________mo9">#REF!</definedName>
    <definedName name="________rev1" localSheetId="12">[2]Resumo!#REF!</definedName>
    <definedName name="________rev1" localSheetId="14">[3]Resumo!#REF!</definedName>
    <definedName name="________rev1" localSheetId="9">#REF!</definedName>
    <definedName name="________rev1">#REF!</definedName>
    <definedName name="________rev11" localSheetId="12">[2]Resumo!#REF!</definedName>
    <definedName name="________rev11" localSheetId="14">[3]Resumo!#REF!</definedName>
    <definedName name="________rev11" localSheetId="9">#REF!</definedName>
    <definedName name="________rev11">#REF!</definedName>
    <definedName name="________rev2" localSheetId="12">[2]Resumo!#REF!</definedName>
    <definedName name="________rev2" localSheetId="14">[3]Resumo!#REF!</definedName>
    <definedName name="________rev2" localSheetId="9">#REF!</definedName>
    <definedName name="________rev2">#REF!</definedName>
    <definedName name="________rev5" localSheetId="12">[2]Resumo!#REF!</definedName>
    <definedName name="________rev5" localSheetId="14">[3]Resumo!#REF!</definedName>
    <definedName name="________rev5" localSheetId="9">#REF!</definedName>
    <definedName name="________rev5">#REF!</definedName>
    <definedName name="________rev6" localSheetId="12">[2]Resumo!#REF!</definedName>
    <definedName name="________rev6" localSheetId="14">[3]Resumo!#REF!</definedName>
    <definedName name="________rev6" localSheetId="9">#REF!</definedName>
    <definedName name="________rev6">#REF!</definedName>
    <definedName name="________rev8" localSheetId="12">[2]Resumo!#REF!</definedName>
    <definedName name="________rev8" localSheetId="14">[3]Resumo!#REF!</definedName>
    <definedName name="________rev8" localSheetId="9">#REF!</definedName>
    <definedName name="________rev8">#REF!</definedName>
    <definedName name="________TAB1" localSheetId="12">#REF!</definedName>
    <definedName name="________TAB1" localSheetId="14">#REF!</definedName>
    <definedName name="________TAB1" localSheetId="9">#REF!</definedName>
    <definedName name="________TAB1">#REF!</definedName>
    <definedName name="________TAB2" localSheetId="12">#REF!</definedName>
    <definedName name="________TAB2" localSheetId="14">#REF!</definedName>
    <definedName name="________TAB2" localSheetId="9">#REF!</definedName>
    <definedName name="________TAB2">#REF!</definedName>
    <definedName name="________TAB3" localSheetId="12">#REF!</definedName>
    <definedName name="________TAB3" localSheetId="14">#REF!</definedName>
    <definedName name="________TAB3" localSheetId="9">#REF!</definedName>
    <definedName name="________TAB3">#REF!</definedName>
    <definedName name="_______aux1" localSheetId="12">[2]Resumo!#REF!</definedName>
    <definedName name="_______aux1" localSheetId="14">[3]Resumo!#REF!</definedName>
    <definedName name="_______aux1" localSheetId="9">#REF!</definedName>
    <definedName name="_______aux1">#REF!</definedName>
    <definedName name="_______aux2" localSheetId="12">[2]Resumo!#REF!</definedName>
    <definedName name="_______aux2" localSheetId="14">[3]Resumo!#REF!</definedName>
    <definedName name="_______aux2" localSheetId="9">#REF!</definedName>
    <definedName name="_______aux2">#REF!</definedName>
    <definedName name="_______aux5" localSheetId="12">[2]Resumo!#REF!</definedName>
    <definedName name="_______aux5" localSheetId="14">[3]Resumo!#REF!</definedName>
    <definedName name="_______aux5" localSheetId="9">#REF!</definedName>
    <definedName name="_______aux5">#REF!</definedName>
    <definedName name="_______aux6" localSheetId="12">[2]Resumo!#REF!</definedName>
    <definedName name="_______aux6" localSheetId="14">[3]Resumo!#REF!</definedName>
    <definedName name="_______aux6" localSheetId="9">#REF!</definedName>
    <definedName name="_______aux6">#REF!</definedName>
    <definedName name="_______aux8" localSheetId="12">[2]Resumo!#REF!</definedName>
    <definedName name="_______aux8" localSheetId="14">[3]Resumo!#REF!</definedName>
    <definedName name="_______aux8" localSheetId="9">#REF!</definedName>
    <definedName name="_______aux8">#REF!</definedName>
    <definedName name="_______cab1" localSheetId="12">#REF!</definedName>
    <definedName name="_______cab1" localSheetId="14">#REF!</definedName>
    <definedName name="_______cab1" localSheetId="9">#REF!</definedName>
    <definedName name="_______cab1">#REF!</definedName>
    <definedName name="_______cab2" localSheetId="12">#REF!</definedName>
    <definedName name="_______cab2" localSheetId="14">#REF!</definedName>
    <definedName name="_______cab2" localSheetId="9">#REF!</definedName>
    <definedName name="_______cab2">#REF!</definedName>
    <definedName name="_______cab3" localSheetId="12">[4]PFAB!$1:$12</definedName>
    <definedName name="_______cab3" localSheetId="14">[5]PFAB!$1:$12</definedName>
    <definedName name="_______cab3" localSheetId="9">#REF!</definedName>
    <definedName name="_______cab3">#REF!</definedName>
    <definedName name="_______cab4" localSheetId="12">[4]FERR!$1:$12</definedName>
    <definedName name="_______cab4" localSheetId="14">[5]FERR!$1:$12</definedName>
    <definedName name="_______cab4" localSheetId="9">#REF!</definedName>
    <definedName name="_______cab4">#REF!</definedName>
    <definedName name="_______cab5" localSheetId="12">[4]ISOL!$1:$12</definedName>
    <definedName name="_______cab5" localSheetId="14">[5]ISOL!$1:$12</definedName>
    <definedName name="_______cab5" localSheetId="9">#REF!</definedName>
    <definedName name="_______cab5">#REF!</definedName>
    <definedName name="_______cab6" localSheetId="12">[4]ISOL!$1:$12</definedName>
    <definedName name="_______cab6" localSheetId="14">[5]ISOL!$1:$12</definedName>
    <definedName name="_______cab6" localSheetId="9">#REF!</definedName>
    <definedName name="_______cab6">#REF!</definedName>
    <definedName name="_______cab7" localSheetId="12">#REF!</definedName>
    <definedName name="_______cab7" localSheetId="14">#REF!</definedName>
    <definedName name="_______cab7" localSheetId="9">#REF!</definedName>
    <definedName name="_______cab7">#REF!</definedName>
    <definedName name="_______DAT1" localSheetId="12">#REF!</definedName>
    <definedName name="_______DAT1" localSheetId="14">#REF!</definedName>
    <definedName name="_______DAT1" localSheetId="9">#REF!</definedName>
    <definedName name="_______DAT1">#REF!</definedName>
    <definedName name="_______DAT10" localSheetId="12">#REF!</definedName>
    <definedName name="_______DAT10" localSheetId="14">#REF!</definedName>
    <definedName name="_______DAT10" localSheetId="9">#REF!</definedName>
    <definedName name="_______DAT10">#REF!</definedName>
    <definedName name="_______DAT11" localSheetId="12">#REF!</definedName>
    <definedName name="_______DAT11" localSheetId="14">#REF!</definedName>
    <definedName name="_______DAT11" localSheetId="9">#REF!</definedName>
    <definedName name="_______DAT11">#REF!</definedName>
    <definedName name="_______DAT12" localSheetId="12">#REF!</definedName>
    <definedName name="_______DAT12" localSheetId="14">#REF!</definedName>
    <definedName name="_______DAT12" localSheetId="9">#REF!</definedName>
    <definedName name="_______DAT12">#REF!</definedName>
    <definedName name="_______DAT13" localSheetId="12">#REF!</definedName>
    <definedName name="_______DAT13" localSheetId="14">#REF!</definedName>
    <definedName name="_______DAT13" localSheetId="9">#REF!</definedName>
    <definedName name="_______DAT13">#REF!</definedName>
    <definedName name="_______DAT14" localSheetId="12">#REF!</definedName>
    <definedName name="_______DAT14" localSheetId="14">#REF!</definedName>
    <definedName name="_______DAT14" localSheetId="9">#REF!</definedName>
    <definedName name="_______DAT14">#REF!</definedName>
    <definedName name="_______DAT15" localSheetId="12">#REF!</definedName>
    <definedName name="_______DAT15" localSheetId="14">#REF!</definedName>
    <definedName name="_______DAT15" localSheetId="9">#REF!</definedName>
    <definedName name="_______DAT15">#REF!</definedName>
    <definedName name="_______DAT2" localSheetId="12">#REF!</definedName>
    <definedName name="_______DAT2" localSheetId="14">#REF!</definedName>
    <definedName name="_______DAT2" localSheetId="9">#REF!</definedName>
    <definedName name="_______DAT2">#REF!</definedName>
    <definedName name="_______DAT3" localSheetId="12">#REF!</definedName>
    <definedName name="_______DAT3" localSheetId="14">#REF!</definedName>
    <definedName name="_______DAT3" localSheetId="9">#REF!</definedName>
    <definedName name="_______DAT3">#REF!</definedName>
    <definedName name="_______DAT4" localSheetId="12">#REF!</definedName>
    <definedName name="_______DAT4" localSheetId="14">#REF!</definedName>
    <definedName name="_______DAT4" localSheetId="9">#REF!</definedName>
    <definedName name="_______DAT4">#REF!</definedName>
    <definedName name="_______DAT5" localSheetId="12">#REF!</definedName>
    <definedName name="_______DAT5" localSheetId="14">#REF!</definedName>
    <definedName name="_______DAT5" localSheetId="9">#REF!</definedName>
    <definedName name="_______DAT5">#REF!</definedName>
    <definedName name="_______DAT6" localSheetId="12">#REF!</definedName>
    <definedName name="_______DAT6" localSheetId="14">#REF!</definedName>
    <definedName name="_______DAT6" localSheetId="9">#REF!</definedName>
    <definedName name="_______DAT6">#REF!</definedName>
    <definedName name="_______DAT7" localSheetId="12">#REF!</definedName>
    <definedName name="_______DAT7" localSheetId="14">#REF!</definedName>
    <definedName name="_______DAT7" localSheetId="9">#REF!</definedName>
    <definedName name="_______DAT7">#REF!</definedName>
    <definedName name="_______DAT8" localSheetId="12">#REF!</definedName>
    <definedName name="_______DAT8" localSheetId="14">#REF!</definedName>
    <definedName name="_______DAT8" localSheetId="9">#REF!</definedName>
    <definedName name="_______DAT8">#REF!</definedName>
    <definedName name="_______DAT9" localSheetId="12">#REF!</definedName>
    <definedName name="_______DAT9" localSheetId="14">#REF!</definedName>
    <definedName name="_______DAT9" localSheetId="9">#REF!</definedName>
    <definedName name="_______DAT9">#REF!</definedName>
    <definedName name="_______dd1" localSheetId="11" hidden="1">{#N/A,#N/A,FALSE,"ET-CAPA";#N/A,#N/A,FALSE,"ET-PAG1";#N/A,#N/A,FALSE,"ET-PAG2";#N/A,#N/A,FALSE,"ET-PAG3";#N/A,#N/A,FALSE,"ET-PAG4";#N/A,#N/A,FALSE,"ET-PAG5"}</definedName>
    <definedName name="_______dd1" localSheetId="12" hidden="1">{#N/A,#N/A,FALSE,"ET-CAPA";#N/A,#N/A,FALSE,"ET-PAG1";#N/A,#N/A,FALSE,"ET-PAG2";#N/A,#N/A,FALSE,"ET-PAG3";#N/A,#N/A,FALSE,"ET-PAG4";#N/A,#N/A,FALSE,"ET-PAG5"}</definedName>
    <definedName name="_______dd1" localSheetId="14" hidden="1">{#N/A,#N/A,FALSE,"ET-CAPA";#N/A,#N/A,FALSE,"ET-PAG1";#N/A,#N/A,FALSE,"ET-PAG2";#N/A,#N/A,FALSE,"ET-PAG3";#N/A,#N/A,FALSE,"ET-PAG4";#N/A,#N/A,FALSE,"ET-PAG5"}</definedName>
    <definedName name="_______dd1" localSheetId="9" hidden="1">{#N/A,#N/A,FALSE,"ET-CAPA";#N/A,#N/A,FALSE,"ET-PAG1";#N/A,#N/A,FALSE,"ET-PAG2";#N/A,#N/A,FALSE,"ET-PAG3";#N/A,#N/A,FALSE,"ET-PAG4";#N/A,#N/A,FALSE,"ET-PAG5"}</definedName>
    <definedName name="_______dd1" hidden="1">{#N/A,#N/A,FALSE,"ET-CAPA";#N/A,#N/A,FALSE,"ET-PAG1";#N/A,#N/A,FALSE,"ET-PAG2";#N/A,#N/A,FALSE,"ET-PAG3";#N/A,#N/A,FALSE,"ET-PAG4";#N/A,#N/A,FALSE,"ET-PAG5"}</definedName>
    <definedName name="_______iso1" localSheetId="12">[2]Resumo!#REF!</definedName>
    <definedName name="_______iso1" localSheetId="14">[3]Resumo!#REF!</definedName>
    <definedName name="_______iso1" localSheetId="9">#REF!</definedName>
    <definedName name="_______iso1">#REF!</definedName>
    <definedName name="_______iso11" localSheetId="12">[2]Resumo!#REF!</definedName>
    <definedName name="_______iso11" localSheetId="14">[3]Resumo!#REF!</definedName>
    <definedName name="_______iso11" localSheetId="9">#REF!</definedName>
    <definedName name="_______iso11">#REF!</definedName>
    <definedName name="_______iso2" localSheetId="12">[2]Resumo!#REF!</definedName>
    <definedName name="_______iso2" localSheetId="14">[3]Resumo!#REF!</definedName>
    <definedName name="_______iso2" localSheetId="9">#REF!</definedName>
    <definedName name="_______iso2">#REF!</definedName>
    <definedName name="_______iso5" localSheetId="12">[2]Resumo!#REF!</definedName>
    <definedName name="_______iso5" localSheetId="14">[3]Resumo!#REF!</definedName>
    <definedName name="_______iso5" localSheetId="9">#REF!</definedName>
    <definedName name="_______iso5">#REF!</definedName>
    <definedName name="_______iso6" localSheetId="12">[2]Resumo!#REF!</definedName>
    <definedName name="_______iso6" localSheetId="14">[3]Resumo!#REF!</definedName>
    <definedName name="_______iso6" localSheetId="9">#REF!</definedName>
    <definedName name="_______iso6">#REF!</definedName>
    <definedName name="_______iso8" localSheetId="12">[2]Resumo!#REF!</definedName>
    <definedName name="_______iso8" localSheetId="14">[3]Resumo!#REF!</definedName>
    <definedName name="_______iso8" localSheetId="9">#REF!</definedName>
    <definedName name="_______iso8">#REF!</definedName>
    <definedName name="_______mo2" localSheetId="12">[2]Resumo!$X$442</definedName>
    <definedName name="_______mo2" localSheetId="14">[3]Resumo!$X$442</definedName>
    <definedName name="_______mo2" localSheetId="9">#REF!</definedName>
    <definedName name="_______mo2">#REF!</definedName>
    <definedName name="_______mo3" localSheetId="12">[2]Resumo!$X$394</definedName>
    <definedName name="_______mo3" localSheetId="14">[3]Resumo!$X$394</definedName>
    <definedName name="_______mo3" localSheetId="9">#REF!</definedName>
    <definedName name="_______mo3">#REF!</definedName>
    <definedName name="_______mo5" localSheetId="12">[2]Resumo!$X$13</definedName>
    <definedName name="_______mo5" localSheetId="14">[3]Resumo!$X$13</definedName>
    <definedName name="_______mo5" localSheetId="9">#REF!</definedName>
    <definedName name="_______mo5">#REF!</definedName>
    <definedName name="_______mo6" localSheetId="12">[2]Resumo!$X$26</definedName>
    <definedName name="_______mo6" localSheetId="14">[3]Resumo!$X$26</definedName>
    <definedName name="_______mo6" localSheetId="9">#REF!</definedName>
    <definedName name="_______mo6">#REF!</definedName>
    <definedName name="_______mo7" localSheetId="12">[2]Resumo!$X$118</definedName>
    <definedName name="_______mo7" localSheetId="14">[3]Resumo!$X$118</definedName>
    <definedName name="_______mo7" localSheetId="9">#REF!</definedName>
    <definedName name="_______mo7">#REF!</definedName>
    <definedName name="_______mo9" localSheetId="12">[2]Resumo!$X$450</definedName>
    <definedName name="_______mo9" localSheetId="14">[3]Resumo!$X$450</definedName>
    <definedName name="_______mo9" localSheetId="9">#REF!</definedName>
    <definedName name="_______mo9">#REF!</definedName>
    <definedName name="_______rev1" localSheetId="12">[2]Resumo!#REF!</definedName>
    <definedName name="_______rev1" localSheetId="14">[3]Resumo!#REF!</definedName>
    <definedName name="_______rev1" localSheetId="9">#REF!</definedName>
    <definedName name="_______rev1">#REF!</definedName>
    <definedName name="_______rev11" localSheetId="12">[2]Resumo!#REF!</definedName>
    <definedName name="_______rev11" localSheetId="14">[3]Resumo!#REF!</definedName>
    <definedName name="_______rev11" localSheetId="9">#REF!</definedName>
    <definedName name="_______rev11">#REF!</definedName>
    <definedName name="_______rev2" localSheetId="12">[2]Resumo!#REF!</definedName>
    <definedName name="_______rev2" localSheetId="14">[3]Resumo!#REF!</definedName>
    <definedName name="_______rev2" localSheetId="9">#REF!</definedName>
    <definedName name="_______rev2">#REF!</definedName>
    <definedName name="_______rev5" localSheetId="12">[2]Resumo!#REF!</definedName>
    <definedName name="_______rev5" localSheetId="14">[3]Resumo!#REF!</definedName>
    <definedName name="_______rev5" localSheetId="9">#REF!</definedName>
    <definedName name="_______rev5">#REF!</definedName>
    <definedName name="_______rev6" localSheetId="12">[2]Resumo!#REF!</definedName>
    <definedName name="_______rev6" localSheetId="14">[3]Resumo!#REF!</definedName>
    <definedName name="_______rev6" localSheetId="9">#REF!</definedName>
    <definedName name="_______rev6">#REF!</definedName>
    <definedName name="_______rev8" localSheetId="12">[2]Resumo!#REF!</definedName>
    <definedName name="_______rev8" localSheetId="14">[3]Resumo!#REF!</definedName>
    <definedName name="_______rev8" localSheetId="9">#REF!</definedName>
    <definedName name="_______rev8">#REF!</definedName>
    <definedName name="_______TAB1" localSheetId="12">#REF!</definedName>
    <definedName name="_______TAB1" localSheetId="14">#REF!</definedName>
    <definedName name="_______TAB1" localSheetId="9">#REF!</definedName>
    <definedName name="_______TAB1">#REF!</definedName>
    <definedName name="_______TAB2" localSheetId="12">#REF!</definedName>
    <definedName name="_______TAB2" localSheetId="14">#REF!</definedName>
    <definedName name="_______TAB2" localSheetId="9">#REF!</definedName>
    <definedName name="_______TAB2">#REF!</definedName>
    <definedName name="_______TAB3" localSheetId="12">#REF!</definedName>
    <definedName name="_______TAB3" localSheetId="14">#REF!</definedName>
    <definedName name="_______TAB3" localSheetId="9">#REF!</definedName>
    <definedName name="_______TAB3">#REF!</definedName>
    <definedName name="______aux1" localSheetId="1">#REF!</definedName>
    <definedName name="______aux1" localSheetId="11">#REF!</definedName>
    <definedName name="______aux1" localSheetId="12">[2]Resumo!#REF!</definedName>
    <definedName name="______aux1" localSheetId="0">#REF!</definedName>
    <definedName name="______aux1" localSheetId="14">[3]Resumo!#REF!</definedName>
    <definedName name="______aux1" localSheetId="9">#REF!</definedName>
    <definedName name="______aux1">#REF!</definedName>
    <definedName name="______aux2" localSheetId="1">#REF!</definedName>
    <definedName name="______aux2" localSheetId="11">#REF!</definedName>
    <definedName name="______aux2" localSheetId="12">[2]Resumo!#REF!</definedName>
    <definedName name="______aux2" localSheetId="0">#REF!</definedName>
    <definedName name="______aux2" localSheetId="14">[3]Resumo!#REF!</definedName>
    <definedName name="______aux2" localSheetId="9">#REF!</definedName>
    <definedName name="______aux2">#REF!</definedName>
    <definedName name="______aux5" localSheetId="12">[2]Resumo!#REF!</definedName>
    <definedName name="______aux5" localSheetId="0">#REF!</definedName>
    <definedName name="______aux5" localSheetId="14">[3]Resumo!#REF!</definedName>
    <definedName name="______aux5" localSheetId="9">#REF!</definedName>
    <definedName name="______aux5">#REF!</definedName>
    <definedName name="______aux6" localSheetId="12">[2]Resumo!#REF!</definedName>
    <definedName name="______aux6" localSheetId="0">#REF!</definedName>
    <definedName name="______aux6" localSheetId="14">[3]Resumo!#REF!</definedName>
    <definedName name="______aux6" localSheetId="9">#REF!</definedName>
    <definedName name="______aux6">#REF!</definedName>
    <definedName name="______aux8" localSheetId="12">[2]Resumo!#REF!</definedName>
    <definedName name="______aux8" localSheetId="14">[3]Resumo!#REF!</definedName>
    <definedName name="______aux8" localSheetId="9">#REF!</definedName>
    <definedName name="______aux8">#REF!</definedName>
    <definedName name="______cab1" localSheetId="1">#REF!</definedName>
    <definedName name="______cab1" localSheetId="11">#REF!</definedName>
    <definedName name="______cab1" localSheetId="12">#REF!</definedName>
    <definedName name="______cab1" localSheetId="0">#REF!</definedName>
    <definedName name="______cab1" localSheetId="14">#REF!</definedName>
    <definedName name="______cab1" localSheetId="9">#REF!</definedName>
    <definedName name="______cab1">#REF!</definedName>
    <definedName name="______cab2" localSheetId="11">#REF!</definedName>
    <definedName name="______cab2" localSheetId="12">#REF!</definedName>
    <definedName name="______cab2" localSheetId="14">#REF!</definedName>
    <definedName name="______cab2" localSheetId="9">#REF!</definedName>
    <definedName name="______cab2">#REF!</definedName>
    <definedName name="______cab3" localSheetId="12">[4]PFAB!$1:$12</definedName>
    <definedName name="______cab3" localSheetId="14">[5]PFAB!$1:$12</definedName>
    <definedName name="______cab3" localSheetId="9">#REF!</definedName>
    <definedName name="______cab3">#REF!</definedName>
    <definedName name="______cab4" localSheetId="12">[4]FERR!$1:$12</definedName>
    <definedName name="______cab4" localSheetId="14">[5]FERR!$1:$12</definedName>
    <definedName name="______cab4" localSheetId="9">#REF!</definedName>
    <definedName name="______cab4">#REF!</definedName>
    <definedName name="______cab5" localSheetId="12">[4]ISOL!$1:$12</definedName>
    <definedName name="______cab5" localSheetId="14">[5]ISOL!$1:$12</definedName>
    <definedName name="______cab5" localSheetId="9">#REF!</definedName>
    <definedName name="______cab5">#REF!</definedName>
    <definedName name="______cab6" localSheetId="12">[4]ISOL!$1:$12</definedName>
    <definedName name="______cab6" localSheetId="14">[5]ISOL!$1:$12</definedName>
    <definedName name="______cab6" localSheetId="9">#REF!</definedName>
    <definedName name="______cab6">#REF!</definedName>
    <definedName name="______cab7" localSheetId="1">#REF!</definedName>
    <definedName name="______cab7" localSheetId="11">#REF!</definedName>
    <definedName name="______cab7" localSheetId="12">#REF!</definedName>
    <definedName name="______cab7" localSheetId="0">#REF!</definedName>
    <definedName name="______cab7" localSheetId="14">#REF!</definedName>
    <definedName name="______cab7" localSheetId="9">#REF!</definedName>
    <definedName name="______cab7">#REF!</definedName>
    <definedName name="______DAT1" localSheetId="1">#REF!</definedName>
    <definedName name="______DAT1" localSheetId="12">#REF!</definedName>
    <definedName name="______DAT1" localSheetId="0">#REF!</definedName>
    <definedName name="______DAT1" localSheetId="14">#REF!</definedName>
    <definedName name="______DAT1" localSheetId="9">#REF!</definedName>
    <definedName name="______DAT1">#REF!</definedName>
    <definedName name="______DAT10" localSheetId="1">#REF!</definedName>
    <definedName name="______DAT10" localSheetId="12">#REF!</definedName>
    <definedName name="______DAT10" localSheetId="0">#REF!</definedName>
    <definedName name="______DAT10" localSheetId="14">#REF!</definedName>
    <definedName name="______DAT10" localSheetId="9">#REF!</definedName>
    <definedName name="______DAT10">#REF!</definedName>
    <definedName name="______DAT11" localSheetId="1">#REF!</definedName>
    <definedName name="______DAT11" localSheetId="12">#REF!</definedName>
    <definedName name="______DAT11" localSheetId="0">#REF!</definedName>
    <definedName name="______DAT11" localSheetId="14">#REF!</definedName>
    <definedName name="______DAT11" localSheetId="9">#REF!</definedName>
    <definedName name="______DAT11">#REF!</definedName>
    <definedName name="______DAT12" localSheetId="1">#REF!</definedName>
    <definedName name="______DAT12" localSheetId="12">#REF!</definedName>
    <definedName name="______DAT12" localSheetId="0">#REF!</definedName>
    <definedName name="______DAT12" localSheetId="14">#REF!</definedName>
    <definedName name="______DAT12" localSheetId="9">#REF!</definedName>
    <definedName name="______DAT12">#REF!</definedName>
    <definedName name="______DAT13" localSheetId="1">#REF!</definedName>
    <definedName name="______DAT13" localSheetId="12">#REF!</definedName>
    <definedName name="______DAT13" localSheetId="0">#REF!</definedName>
    <definedName name="______DAT13" localSheetId="14">#REF!</definedName>
    <definedName name="______DAT13" localSheetId="9">#REF!</definedName>
    <definedName name="______DAT13">#REF!</definedName>
    <definedName name="______DAT14" localSheetId="1">#REF!</definedName>
    <definedName name="______DAT14" localSheetId="12">#REF!</definedName>
    <definedName name="______DAT14" localSheetId="0">#REF!</definedName>
    <definedName name="______DAT14" localSheetId="14">#REF!</definedName>
    <definedName name="______DAT14" localSheetId="9">#REF!</definedName>
    <definedName name="______DAT14">#REF!</definedName>
    <definedName name="______DAT15" localSheetId="1">#REF!</definedName>
    <definedName name="______DAT15" localSheetId="12">#REF!</definedName>
    <definedName name="______DAT15" localSheetId="0">#REF!</definedName>
    <definedName name="______DAT15" localSheetId="14">#REF!</definedName>
    <definedName name="______DAT15" localSheetId="9">#REF!</definedName>
    <definedName name="______DAT15">#REF!</definedName>
    <definedName name="______DAT2" localSheetId="1">#REF!</definedName>
    <definedName name="______DAT2" localSheetId="12">#REF!</definedName>
    <definedName name="______DAT2" localSheetId="0">#REF!</definedName>
    <definedName name="______DAT2" localSheetId="14">#REF!</definedName>
    <definedName name="______DAT2" localSheetId="9">#REF!</definedName>
    <definedName name="______DAT2">#REF!</definedName>
    <definedName name="______DAT3" localSheetId="1">#REF!</definedName>
    <definedName name="______DAT3" localSheetId="12">#REF!</definedName>
    <definedName name="______DAT3" localSheetId="0">#REF!</definedName>
    <definedName name="______DAT3" localSheetId="14">#REF!</definedName>
    <definedName name="______DAT3" localSheetId="9">#REF!</definedName>
    <definedName name="______DAT3">#REF!</definedName>
    <definedName name="______DAT4" localSheetId="1">#REF!</definedName>
    <definedName name="______DAT4" localSheetId="12">#REF!</definedName>
    <definedName name="______DAT4" localSheetId="0">#REF!</definedName>
    <definedName name="______DAT4" localSheetId="14">#REF!</definedName>
    <definedName name="______DAT4" localSheetId="9">#REF!</definedName>
    <definedName name="______DAT4">#REF!</definedName>
    <definedName name="______DAT5" localSheetId="1">#REF!</definedName>
    <definedName name="______DAT5" localSheetId="12">#REF!</definedName>
    <definedName name="______DAT5" localSheetId="0">#REF!</definedName>
    <definedName name="______DAT5" localSheetId="14">#REF!</definedName>
    <definedName name="______DAT5" localSheetId="9">#REF!</definedName>
    <definedName name="______DAT5">#REF!</definedName>
    <definedName name="______DAT6" localSheetId="1">#REF!</definedName>
    <definedName name="______DAT6" localSheetId="12">#REF!</definedName>
    <definedName name="______DAT6" localSheetId="0">#REF!</definedName>
    <definedName name="______DAT6" localSheetId="14">#REF!</definedName>
    <definedName name="______DAT6" localSheetId="9">#REF!</definedName>
    <definedName name="______DAT6">#REF!</definedName>
    <definedName name="______DAT7" localSheetId="1">#REF!</definedName>
    <definedName name="______DAT7" localSheetId="12">#REF!</definedName>
    <definedName name="______DAT7" localSheetId="0">#REF!</definedName>
    <definedName name="______DAT7" localSheetId="14">#REF!</definedName>
    <definedName name="______DAT7" localSheetId="9">#REF!</definedName>
    <definedName name="______DAT7">#REF!</definedName>
    <definedName name="______DAT8" localSheetId="1">#REF!</definedName>
    <definedName name="______DAT8" localSheetId="12">#REF!</definedName>
    <definedName name="______DAT8" localSheetId="0">#REF!</definedName>
    <definedName name="______DAT8" localSheetId="14">#REF!</definedName>
    <definedName name="______DAT8" localSheetId="9">#REF!</definedName>
    <definedName name="______DAT8">#REF!</definedName>
    <definedName name="______DAT9" localSheetId="1">#REF!</definedName>
    <definedName name="______DAT9" localSheetId="12">#REF!</definedName>
    <definedName name="______DAT9" localSheetId="0">#REF!</definedName>
    <definedName name="______DAT9" localSheetId="14">#REF!</definedName>
    <definedName name="______DAT9" localSheetId="9">#REF!</definedName>
    <definedName name="______DAT9">#REF!</definedName>
    <definedName name="______dd1" localSheetId="11" hidden="1">{#N/A,#N/A,FALSE,"ET-CAPA";#N/A,#N/A,FALSE,"ET-PAG1";#N/A,#N/A,FALSE,"ET-PAG2";#N/A,#N/A,FALSE,"ET-PAG3";#N/A,#N/A,FALSE,"ET-PAG4";#N/A,#N/A,FALSE,"ET-PAG5"}</definedName>
    <definedName name="______dd1" localSheetId="12" hidden="1">{#N/A,#N/A,FALSE,"ET-CAPA";#N/A,#N/A,FALSE,"ET-PAG1";#N/A,#N/A,FALSE,"ET-PAG2";#N/A,#N/A,FALSE,"ET-PAG3";#N/A,#N/A,FALSE,"ET-PAG4";#N/A,#N/A,FALSE,"ET-PAG5"}</definedName>
    <definedName name="______dd1" localSheetId="14" hidden="1">{#N/A,#N/A,FALSE,"ET-CAPA";#N/A,#N/A,FALSE,"ET-PAG1";#N/A,#N/A,FALSE,"ET-PAG2";#N/A,#N/A,FALSE,"ET-PAG3";#N/A,#N/A,FALSE,"ET-PAG4";#N/A,#N/A,FALSE,"ET-PAG5"}</definedName>
    <definedName name="______dd1" localSheetId="9" hidden="1">{#N/A,#N/A,FALSE,"ET-CAPA";#N/A,#N/A,FALSE,"ET-PAG1";#N/A,#N/A,FALSE,"ET-PAG2";#N/A,#N/A,FALSE,"ET-PAG3";#N/A,#N/A,FALSE,"ET-PAG4";#N/A,#N/A,FALSE,"ET-PAG5"}</definedName>
    <definedName name="______dd1" hidden="1">{#N/A,#N/A,FALSE,"ET-CAPA";#N/A,#N/A,FALSE,"ET-PAG1";#N/A,#N/A,FALSE,"ET-PAG2";#N/A,#N/A,FALSE,"ET-PAG3";#N/A,#N/A,FALSE,"ET-PAG4";#N/A,#N/A,FALSE,"ET-PAG5"}</definedName>
    <definedName name="______iso1" localSheetId="1">#REF!</definedName>
    <definedName name="______iso1" localSheetId="12">[2]Resumo!#REF!</definedName>
    <definedName name="______iso1" localSheetId="0">#REF!</definedName>
    <definedName name="______iso1" localSheetId="14">[3]Resumo!#REF!</definedName>
    <definedName name="______iso1" localSheetId="9">#REF!</definedName>
    <definedName name="______iso1">#REF!</definedName>
    <definedName name="______iso11" localSheetId="1">#REF!</definedName>
    <definedName name="______iso11" localSheetId="12">[2]Resumo!#REF!</definedName>
    <definedName name="______iso11" localSheetId="0">#REF!</definedName>
    <definedName name="______iso11" localSheetId="14">[3]Resumo!#REF!</definedName>
    <definedName name="______iso11" localSheetId="9">#REF!</definedName>
    <definedName name="______iso11">#REF!</definedName>
    <definedName name="______iso2" localSheetId="1">#REF!</definedName>
    <definedName name="______iso2" localSheetId="12">[2]Resumo!#REF!</definedName>
    <definedName name="______iso2" localSheetId="0">#REF!</definedName>
    <definedName name="______iso2" localSheetId="14">[3]Resumo!#REF!</definedName>
    <definedName name="______iso2" localSheetId="9">#REF!</definedName>
    <definedName name="______iso2">#REF!</definedName>
    <definedName name="______iso5" localSheetId="1">#REF!</definedName>
    <definedName name="______iso5" localSheetId="12">[2]Resumo!#REF!</definedName>
    <definedName name="______iso5" localSheetId="0">#REF!</definedName>
    <definedName name="______iso5" localSheetId="14">[3]Resumo!#REF!</definedName>
    <definedName name="______iso5" localSheetId="9">#REF!</definedName>
    <definedName name="______iso5">#REF!</definedName>
    <definedName name="______iso6" localSheetId="12">[2]Resumo!#REF!</definedName>
    <definedName name="______iso6" localSheetId="14">[3]Resumo!#REF!</definedName>
    <definedName name="______iso6" localSheetId="9">#REF!</definedName>
    <definedName name="______iso6">#REF!</definedName>
    <definedName name="______iso8" localSheetId="12">[2]Resumo!#REF!</definedName>
    <definedName name="______iso8" localSheetId="14">[3]Resumo!#REF!</definedName>
    <definedName name="______iso8" localSheetId="9">#REF!</definedName>
    <definedName name="______iso8">#REF!</definedName>
    <definedName name="______mo2" localSheetId="12">[2]Resumo!$X$442</definedName>
    <definedName name="______mo2" localSheetId="14">[3]Resumo!$X$442</definedName>
    <definedName name="______mo2" localSheetId="9">#REF!</definedName>
    <definedName name="______mo2">#REF!</definedName>
    <definedName name="______mo3" localSheetId="12">[2]Resumo!$X$394</definedName>
    <definedName name="______mo3" localSheetId="14">[3]Resumo!$X$394</definedName>
    <definedName name="______mo3" localSheetId="9">#REF!</definedName>
    <definedName name="______mo3">#REF!</definedName>
    <definedName name="______mo5" localSheetId="12">[2]Resumo!$X$13</definedName>
    <definedName name="______mo5" localSheetId="14">[3]Resumo!$X$13</definedName>
    <definedName name="______mo5" localSheetId="9">#REF!</definedName>
    <definedName name="______mo5">#REF!</definedName>
    <definedName name="______mo6" localSheetId="12">[2]Resumo!$X$26</definedName>
    <definedName name="______mo6" localSheetId="14">[3]Resumo!$X$26</definedName>
    <definedName name="______mo6" localSheetId="9">#REF!</definedName>
    <definedName name="______mo6">#REF!</definedName>
    <definedName name="______mo7" localSheetId="12">[2]Resumo!$X$118</definedName>
    <definedName name="______mo7" localSheetId="14">[3]Resumo!$X$118</definedName>
    <definedName name="______mo7" localSheetId="9">#REF!</definedName>
    <definedName name="______mo7">#REF!</definedName>
    <definedName name="______mo9" localSheetId="12">[2]Resumo!$X$450</definedName>
    <definedName name="______mo9" localSheetId="14">[3]Resumo!$X$450</definedName>
    <definedName name="______mo9" localSheetId="9">#REF!</definedName>
    <definedName name="______mo9">#REF!</definedName>
    <definedName name="______rev1" localSheetId="1">#REF!</definedName>
    <definedName name="______rev1" localSheetId="11">#REF!</definedName>
    <definedName name="______rev1" localSheetId="12">[2]Resumo!#REF!</definedName>
    <definedName name="______rev1" localSheetId="0">#REF!</definedName>
    <definedName name="______rev1" localSheetId="14">[3]Resumo!#REF!</definedName>
    <definedName name="______rev1" localSheetId="9">#REF!</definedName>
    <definedName name="______rev1">#REF!</definedName>
    <definedName name="______rev11" localSheetId="1">#REF!</definedName>
    <definedName name="______rev11" localSheetId="11">#REF!</definedName>
    <definedName name="______rev11" localSheetId="12">[2]Resumo!#REF!</definedName>
    <definedName name="______rev11" localSheetId="0">#REF!</definedName>
    <definedName name="______rev11" localSheetId="14">[3]Resumo!#REF!</definedName>
    <definedName name="______rev11" localSheetId="9">#REF!</definedName>
    <definedName name="______rev11">#REF!</definedName>
    <definedName name="______rev2" localSheetId="1">#REF!</definedName>
    <definedName name="______rev2" localSheetId="12">[2]Resumo!#REF!</definedName>
    <definedName name="______rev2" localSheetId="0">#REF!</definedName>
    <definedName name="______rev2" localSheetId="14">[3]Resumo!#REF!</definedName>
    <definedName name="______rev2" localSheetId="9">#REF!</definedName>
    <definedName name="______rev2">#REF!</definedName>
    <definedName name="______rev5" localSheetId="1">#REF!</definedName>
    <definedName name="______rev5" localSheetId="12">[2]Resumo!#REF!</definedName>
    <definedName name="______rev5" localSheetId="0">#REF!</definedName>
    <definedName name="______rev5" localSheetId="14">[3]Resumo!#REF!</definedName>
    <definedName name="______rev5" localSheetId="9">#REF!</definedName>
    <definedName name="______rev5">#REF!</definedName>
    <definedName name="______rev6" localSheetId="12">[2]Resumo!#REF!</definedName>
    <definedName name="______rev6" localSheetId="14">[3]Resumo!#REF!</definedName>
    <definedName name="______rev6" localSheetId="9">#REF!</definedName>
    <definedName name="______rev6">#REF!</definedName>
    <definedName name="______rev8" localSheetId="12">[2]Resumo!#REF!</definedName>
    <definedName name="______rev8" localSheetId="14">[3]Resumo!#REF!</definedName>
    <definedName name="______rev8" localSheetId="9">#REF!</definedName>
    <definedName name="______rev8">#REF!</definedName>
    <definedName name="______TAB1" localSheetId="1">#REF!</definedName>
    <definedName name="______TAB1" localSheetId="11">#REF!</definedName>
    <definedName name="______TAB1" localSheetId="12">#REF!</definedName>
    <definedName name="______TAB1" localSheetId="0">#REF!</definedName>
    <definedName name="______TAB1" localSheetId="14">#REF!</definedName>
    <definedName name="______TAB1" localSheetId="9">#REF!</definedName>
    <definedName name="______TAB1">#REF!</definedName>
    <definedName name="______TAB2" localSheetId="1">#REF!</definedName>
    <definedName name="______TAB2" localSheetId="12">#REF!</definedName>
    <definedName name="______TAB2" localSheetId="0">#REF!</definedName>
    <definedName name="______TAB2" localSheetId="14">#REF!</definedName>
    <definedName name="______TAB2" localSheetId="9">#REF!</definedName>
    <definedName name="______TAB2">#REF!</definedName>
    <definedName name="______TAB3" localSheetId="1">#REF!</definedName>
    <definedName name="______TAB3" localSheetId="12">#REF!</definedName>
    <definedName name="______TAB3" localSheetId="0">#REF!</definedName>
    <definedName name="______TAB3" localSheetId="14">#REF!</definedName>
    <definedName name="______TAB3" localSheetId="9">#REF!</definedName>
    <definedName name="______TAB3">#REF!</definedName>
    <definedName name="_____aux1" localSheetId="1">#REF!</definedName>
    <definedName name="_____aux1" localSheetId="11">#REF!</definedName>
    <definedName name="_____aux1" localSheetId="7">#REF!</definedName>
    <definedName name="_____aux1" localSheetId="12">[2]Resumo!#REF!</definedName>
    <definedName name="_____aux1" localSheetId="0">#REF!</definedName>
    <definedName name="_____aux1" localSheetId="14">[3]Resumo!#REF!</definedName>
    <definedName name="_____aux1" localSheetId="9">#REF!</definedName>
    <definedName name="_____aux1">#REF!</definedName>
    <definedName name="_____aux2" localSheetId="1">#REF!</definedName>
    <definedName name="_____aux2" localSheetId="11">#REF!</definedName>
    <definedName name="_____aux2" localSheetId="7">#REF!</definedName>
    <definedName name="_____aux2" localSheetId="12">[2]Resumo!#REF!</definedName>
    <definedName name="_____aux2" localSheetId="14">[3]Resumo!#REF!</definedName>
    <definedName name="_____aux2" localSheetId="9">#REF!</definedName>
    <definedName name="_____aux2">#REF!</definedName>
    <definedName name="_____aux5" localSheetId="11">#REF!</definedName>
    <definedName name="_____aux5" localSheetId="7">#REF!</definedName>
    <definedName name="_____aux5" localSheetId="12">[2]Resumo!#REF!</definedName>
    <definedName name="_____aux5" localSheetId="14">[3]Resumo!#REF!</definedName>
    <definedName name="_____aux5" localSheetId="9">#REF!</definedName>
    <definedName name="_____aux5">#REF!</definedName>
    <definedName name="_____aux6" localSheetId="11">#REF!</definedName>
    <definedName name="_____aux6" localSheetId="7">#REF!</definedName>
    <definedName name="_____aux6" localSheetId="12">[2]Resumo!#REF!</definedName>
    <definedName name="_____aux6" localSheetId="14">[3]Resumo!#REF!</definedName>
    <definedName name="_____aux6" localSheetId="9">#REF!</definedName>
    <definedName name="_____aux6">#REF!</definedName>
    <definedName name="_____aux8" localSheetId="12">[2]Resumo!#REF!</definedName>
    <definedName name="_____aux8" localSheetId="14">[3]Resumo!#REF!</definedName>
    <definedName name="_____aux8" localSheetId="9">#REF!</definedName>
    <definedName name="_____aux8">#REF!</definedName>
    <definedName name="_____cab1" localSheetId="1">#REF!</definedName>
    <definedName name="_____cab1" localSheetId="11">#REF!</definedName>
    <definedName name="_____cab1" localSheetId="7">#REF!</definedName>
    <definedName name="_____cab1" localSheetId="12">#REF!</definedName>
    <definedName name="_____cab1" localSheetId="0">#REF!</definedName>
    <definedName name="_____cab1" localSheetId="14">#REF!</definedName>
    <definedName name="_____cab1" localSheetId="9">#REF!</definedName>
    <definedName name="_____cab1">#REF!</definedName>
    <definedName name="_____cab2" localSheetId="1">#REF!</definedName>
    <definedName name="_____cab2" localSheetId="12">#REF!</definedName>
    <definedName name="_____cab2" localSheetId="0">#REF!</definedName>
    <definedName name="_____cab2" localSheetId="14">#REF!</definedName>
    <definedName name="_____cab2" localSheetId="9">#REF!</definedName>
    <definedName name="_____cab2">#REF!</definedName>
    <definedName name="_____cab3" localSheetId="7">#REF!</definedName>
    <definedName name="_____cab3" localSheetId="12">[4]PFAB!$1:$12</definedName>
    <definedName name="_____cab3" localSheetId="14">[5]PFAB!$1:$12</definedName>
    <definedName name="_____cab3" localSheetId="9">#REF!</definedName>
    <definedName name="_____cab3">#REF!</definedName>
    <definedName name="_____cab4" localSheetId="7">#REF!</definedName>
    <definedName name="_____cab4" localSheetId="12">[4]FERR!$1:$12</definedName>
    <definedName name="_____cab4" localSheetId="14">[5]FERR!$1:$12</definedName>
    <definedName name="_____cab4" localSheetId="9">#REF!</definedName>
    <definedName name="_____cab4">#REF!</definedName>
    <definedName name="_____cab5" localSheetId="7">#REF!</definedName>
    <definedName name="_____cab5" localSheetId="12">[4]ISOL!$1:$12</definedName>
    <definedName name="_____cab5" localSheetId="14">[5]ISOL!$1:$12</definedName>
    <definedName name="_____cab5" localSheetId="9">#REF!</definedName>
    <definedName name="_____cab5">#REF!</definedName>
    <definedName name="_____cab6" localSheetId="7">#REF!</definedName>
    <definedName name="_____cab6" localSheetId="12">[4]ISOL!$1:$12</definedName>
    <definedName name="_____cab6" localSheetId="14">[5]ISOL!$1:$12</definedName>
    <definedName name="_____cab6" localSheetId="9">#REF!</definedName>
    <definedName name="_____cab6">#REF!</definedName>
    <definedName name="_____cab7" localSheetId="1">#REF!</definedName>
    <definedName name="_____cab7" localSheetId="11">#REF!</definedName>
    <definedName name="_____cab7" localSheetId="7">#REF!</definedName>
    <definedName name="_____cab7" localSheetId="12">#REF!</definedName>
    <definedName name="_____cab7" localSheetId="0">#REF!</definedName>
    <definedName name="_____cab7" localSheetId="14">#REF!</definedName>
    <definedName name="_____cab7" localSheetId="9">#REF!</definedName>
    <definedName name="_____cab7">#REF!</definedName>
    <definedName name="_____DAT1" localSheetId="1">#REF!</definedName>
    <definedName name="_____DAT1" localSheetId="12">#REF!</definedName>
    <definedName name="_____DAT1" localSheetId="0">#REF!</definedName>
    <definedName name="_____DAT1" localSheetId="14">#REF!</definedName>
    <definedName name="_____DAT1" localSheetId="9">#REF!</definedName>
    <definedName name="_____DAT1">#REF!</definedName>
    <definedName name="_____DAT10" localSheetId="1">#REF!</definedName>
    <definedName name="_____DAT10" localSheetId="12">#REF!</definedName>
    <definedName name="_____DAT10" localSheetId="0">#REF!</definedName>
    <definedName name="_____DAT10" localSheetId="14">#REF!</definedName>
    <definedName name="_____DAT10" localSheetId="9">#REF!</definedName>
    <definedName name="_____DAT10">#REF!</definedName>
    <definedName name="_____DAT11" localSheetId="1">#REF!</definedName>
    <definedName name="_____DAT11" localSheetId="12">#REF!</definedName>
    <definedName name="_____DAT11" localSheetId="0">#REF!</definedName>
    <definedName name="_____DAT11" localSheetId="14">#REF!</definedName>
    <definedName name="_____DAT11" localSheetId="9">#REF!</definedName>
    <definedName name="_____DAT11">#REF!</definedName>
    <definedName name="_____DAT12" localSheetId="1">#REF!</definedName>
    <definedName name="_____DAT12" localSheetId="12">#REF!</definedName>
    <definedName name="_____DAT12" localSheetId="0">#REF!</definedName>
    <definedName name="_____DAT12" localSheetId="14">#REF!</definedName>
    <definedName name="_____DAT12" localSheetId="9">#REF!</definedName>
    <definedName name="_____DAT12">#REF!</definedName>
    <definedName name="_____DAT13" localSheetId="1">#REF!</definedName>
    <definedName name="_____DAT13" localSheetId="12">#REF!</definedName>
    <definedName name="_____DAT13" localSheetId="0">#REF!</definedName>
    <definedName name="_____DAT13" localSheetId="14">#REF!</definedName>
    <definedName name="_____DAT13" localSheetId="9">#REF!</definedName>
    <definedName name="_____DAT13">#REF!</definedName>
    <definedName name="_____DAT14" localSheetId="1">#REF!</definedName>
    <definedName name="_____DAT14" localSheetId="12">#REF!</definedName>
    <definedName name="_____DAT14" localSheetId="0">#REF!</definedName>
    <definedName name="_____DAT14" localSheetId="14">#REF!</definedName>
    <definedName name="_____DAT14" localSheetId="9">#REF!</definedName>
    <definedName name="_____DAT14">#REF!</definedName>
    <definedName name="_____DAT15" localSheetId="1">#REF!</definedName>
    <definedName name="_____DAT15" localSheetId="12">#REF!</definedName>
    <definedName name="_____DAT15" localSheetId="0">#REF!</definedName>
    <definedName name="_____DAT15" localSheetId="14">#REF!</definedName>
    <definedName name="_____DAT15" localSheetId="9">#REF!</definedName>
    <definedName name="_____DAT15">#REF!</definedName>
    <definedName name="_____DAT2" localSheetId="1">#REF!</definedName>
    <definedName name="_____DAT2" localSheetId="12">#REF!</definedName>
    <definedName name="_____DAT2" localSheetId="0">#REF!</definedName>
    <definedName name="_____DAT2" localSheetId="14">#REF!</definedName>
    <definedName name="_____DAT2" localSheetId="9">#REF!</definedName>
    <definedName name="_____DAT2">#REF!</definedName>
    <definedName name="_____DAT3" localSheetId="1">#REF!</definedName>
    <definedName name="_____DAT3" localSheetId="12">#REF!</definedName>
    <definedName name="_____DAT3" localSheetId="0">#REF!</definedName>
    <definedName name="_____DAT3" localSheetId="14">#REF!</definedName>
    <definedName name="_____DAT3" localSheetId="9">#REF!</definedName>
    <definedName name="_____DAT3">#REF!</definedName>
    <definedName name="_____DAT4" localSheetId="1">#REF!</definedName>
    <definedName name="_____DAT4" localSheetId="12">#REF!</definedName>
    <definedName name="_____DAT4" localSheetId="0">#REF!</definedName>
    <definedName name="_____DAT4" localSheetId="14">#REF!</definedName>
    <definedName name="_____DAT4" localSheetId="9">#REF!</definedName>
    <definedName name="_____DAT4">#REF!</definedName>
    <definedName name="_____DAT5" localSheetId="1">#REF!</definedName>
    <definedName name="_____DAT5" localSheetId="12">#REF!</definedName>
    <definedName name="_____DAT5" localSheetId="0">#REF!</definedName>
    <definedName name="_____DAT5" localSheetId="14">#REF!</definedName>
    <definedName name="_____DAT5" localSheetId="9">#REF!</definedName>
    <definedName name="_____DAT5">#REF!</definedName>
    <definedName name="_____DAT6" localSheetId="1">#REF!</definedName>
    <definedName name="_____DAT6" localSheetId="12">#REF!</definedName>
    <definedName name="_____DAT6" localSheetId="0">#REF!</definedName>
    <definedName name="_____DAT6" localSheetId="14">#REF!</definedName>
    <definedName name="_____DAT6" localSheetId="9">#REF!</definedName>
    <definedName name="_____DAT6">#REF!</definedName>
    <definedName name="_____DAT7" localSheetId="1">#REF!</definedName>
    <definedName name="_____DAT7" localSheetId="12">#REF!</definedName>
    <definedName name="_____DAT7" localSheetId="0">#REF!</definedName>
    <definedName name="_____DAT7" localSheetId="14">#REF!</definedName>
    <definedName name="_____DAT7" localSheetId="9">#REF!</definedName>
    <definedName name="_____DAT7">#REF!</definedName>
    <definedName name="_____DAT8" localSheetId="1">#REF!</definedName>
    <definedName name="_____DAT8" localSheetId="12">#REF!</definedName>
    <definedName name="_____DAT8" localSheetId="0">#REF!</definedName>
    <definedName name="_____DAT8" localSheetId="14">#REF!</definedName>
    <definedName name="_____DAT8" localSheetId="9">#REF!</definedName>
    <definedName name="_____DAT8">#REF!</definedName>
    <definedName name="_____DAT9" localSheetId="1">#REF!</definedName>
    <definedName name="_____DAT9" localSheetId="12">#REF!</definedName>
    <definedName name="_____DAT9" localSheetId="0">#REF!</definedName>
    <definedName name="_____DAT9" localSheetId="14">#REF!</definedName>
    <definedName name="_____DAT9" localSheetId="9">#REF!</definedName>
    <definedName name="_____DAT9">#REF!</definedName>
    <definedName name="_____dd1" localSheetId="11" hidden="1">{#N/A,#N/A,FALSE,"ET-CAPA";#N/A,#N/A,FALSE,"ET-PAG1";#N/A,#N/A,FALSE,"ET-PAG2";#N/A,#N/A,FALSE,"ET-PAG3";#N/A,#N/A,FALSE,"ET-PAG4";#N/A,#N/A,FALSE,"ET-PAG5"}</definedName>
    <definedName name="_____dd1" localSheetId="12" hidden="1">{#N/A,#N/A,FALSE,"ET-CAPA";#N/A,#N/A,FALSE,"ET-PAG1";#N/A,#N/A,FALSE,"ET-PAG2";#N/A,#N/A,FALSE,"ET-PAG3";#N/A,#N/A,FALSE,"ET-PAG4";#N/A,#N/A,FALSE,"ET-PAG5"}</definedName>
    <definedName name="_____dd1" localSheetId="14" hidden="1">{#N/A,#N/A,FALSE,"ET-CAPA";#N/A,#N/A,FALSE,"ET-PAG1";#N/A,#N/A,FALSE,"ET-PAG2";#N/A,#N/A,FALSE,"ET-PAG3";#N/A,#N/A,FALSE,"ET-PAG4";#N/A,#N/A,FALSE,"ET-PAG5"}</definedName>
    <definedName name="_____dd1" localSheetId="9" hidden="1">{#N/A,#N/A,FALSE,"ET-CAPA";#N/A,#N/A,FALSE,"ET-PAG1";#N/A,#N/A,FALSE,"ET-PAG2";#N/A,#N/A,FALSE,"ET-PAG3";#N/A,#N/A,FALSE,"ET-PAG4";#N/A,#N/A,FALSE,"ET-PAG5"}</definedName>
    <definedName name="_____dd1" hidden="1">{#N/A,#N/A,FALSE,"ET-CAPA";#N/A,#N/A,FALSE,"ET-PAG1";#N/A,#N/A,FALSE,"ET-PAG2";#N/A,#N/A,FALSE,"ET-PAG3";#N/A,#N/A,FALSE,"ET-PAG4";#N/A,#N/A,FALSE,"ET-PAG5"}</definedName>
    <definedName name="_____ep1" localSheetId="11" hidden="1">{#N/A,#N/A,FALSE,"CONTROLE"}</definedName>
    <definedName name="_____ep1" localSheetId="12" hidden="1">{#N/A,#N/A,FALSE,"CONTROLE"}</definedName>
    <definedName name="_____ep1" localSheetId="14" hidden="1">{#N/A,#N/A,FALSE,"CONTROLE"}</definedName>
    <definedName name="_____ep1" localSheetId="9" hidden="1">{#N/A,#N/A,FALSE,"CONTROLE"}</definedName>
    <definedName name="_____ep1" hidden="1">{#N/A,#N/A,FALSE,"CONTROLE"}</definedName>
    <definedName name="_____iso1" localSheetId="7">#REF!</definedName>
    <definedName name="_____iso1" localSheetId="12">[2]Resumo!#REF!</definedName>
    <definedName name="_____iso1" localSheetId="0">#REF!</definedName>
    <definedName name="_____iso1" localSheetId="14">[3]Resumo!#REF!</definedName>
    <definedName name="_____iso1" localSheetId="9">#REF!</definedName>
    <definedName name="_____iso1">#REF!</definedName>
    <definedName name="_____iso11" localSheetId="7">#REF!</definedName>
    <definedName name="_____iso11" localSheetId="12">[2]Resumo!#REF!</definedName>
    <definedName name="_____iso11" localSheetId="0">#REF!</definedName>
    <definedName name="_____iso11" localSheetId="14">[3]Resumo!#REF!</definedName>
    <definedName name="_____iso11" localSheetId="9">#REF!</definedName>
    <definedName name="_____iso11">#REF!</definedName>
    <definedName name="_____iso2" localSheetId="7">#REF!</definedName>
    <definedName name="_____iso2" localSheetId="12">[2]Resumo!#REF!</definedName>
    <definedName name="_____iso2" localSheetId="0">#REF!</definedName>
    <definedName name="_____iso2" localSheetId="14">[3]Resumo!#REF!</definedName>
    <definedName name="_____iso2" localSheetId="9">#REF!</definedName>
    <definedName name="_____iso2">#REF!</definedName>
    <definedName name="_____iso5" localSheetId="7">#REF!</definedName>
    <definedName name="_____iso5" localSheetId="12">[2]Resumo!#REF!</definedName>
    <definedName name="_____iso5" localSheetId="0">#REF!</definedName>
    <definedName name="_____iso5" localSheetId="14">[3]Resumo!#REF!</definedName>
    <definedName name="_____iso5" localSheetId="9">#REF!</definedName>
    <definedName name="_____iso5">#REF!</definedName>
    <definedName name="_____iso6" localSheetId="7">#REF!</definedName>
    <definedName name="_____iso6" localSheetId="12">[2]Resumo!#REF!</definedName>
    <definedName name="_____iso6" localSheetId="14">[3]Resumo!#REF!</definedName>
    <definedName name="_____iso6" localSheetId="9">#REF!</definedName>
    <definedName name="_____iso6">#REF!</definedName>
    <definedName name="_____iso8" localSheetId="7">#REF!</definedName>
    <definedName name="_____iso8" localSheetId="12">[2]Resumo!#REF!</definedName>
    <definedName name="_____iso8" localSheetId="14">[3]Resumo!#REF!</definedName>
    <definedName name="_____iso8" localSheetId="9">#REF!</definedName>
    <definedName name="_____iso8">#REF!</definedName>
    <definedName name="_____mo2" localSheetId="7">#REF!</definedName>
    <definedName name="_____mo2" localSheetId="12">[2]Resumo!$X$442</definedName>
    <definedName name="_____mo2" localSheetId="14">[3]Resumo!$X$442</definedName>
    <definedName name="_____mo2" localSheetId="9">#REF!</definedName>
    <definedName name="_____mo2">#REF!</definedName>
    <definedName name="_____mo3" localSheetId="7">#REF!</definedName>
    <definedName name="_____mo3" localSheetId="12">[2]Resumo!$X$394</definedName>
    <definedName name="_____mo3" localSheetId="14">[3]Resumo!$X$394</definedName>
    <definedName name="_____mo3" localSheetId="9">#REF!</definedName>
    <definedName name="_____mo3">#REF!</definedName>
    <definedName name="_____mo5" localSheetId="7">#REF!</definedName>
    <definedName name="_____mo5" localSheetId="12">[2]Resumo!$X$13</definedName>
    <definedName name="_____mo5" localSheetId="14">[3]Resumo!$X$13</definedName>
    <definedName name="_____mo5" localSheetId="9">#REF!</definedName>
    <definedName name="_____mo5">#REF!</definedName>
    <definedName name="_____mo6" localSheetId="7">#REF!</definedName>
    <definedName name="_____mo6" localSheetId="12">[2]Resumo!$X$26</definedName>
    <definedName name="_____mo6" localSheetId="14">[3]Resumo!$X$26</definedName>
    <definedName name="_____mo6" localSheetId="9">#REF!</definedName>
    <definedName name="_____mo6">#REF!</definedName>
    <definedName name="_____mo7" localSheetId="7">#REF!</definedName>
    <definedName name="_____mo7" localSheetId="12">[2]Resumo!$X$118</definedName>
    <definedName name="_____mo7" localSheetId="14">[3]Resumo!$X$118</definedName>
    <definedName name="_____mo7" localSheetId="9">#REF!</definedName>
    <definedName name="_____mo7">#REF!</definedName>
    <definedName name="_____mo9" localSheetId="7">#REF!</definedName>
    <definedName name="_____mo9" localSheetId="12">[2]Resumo!$X$450</definedName>
    <definedName name="_____mo9" localSheetId="14">[3]Resumo!$X$450</definedName>
    <definedName name="_____mo9" localSheetId="9">#REF!</definedName>
    <definedName name="_____mo9">#REF!</definedName>
    <definedName name="_____rev1" localSheetId="1">#REF!</definedName>
    <definedName name="_____rev1" localSheetId="11">#REF!</definedName>
    <definedName name="_____rev1" localSheetId="7">#REF!</definedName>
    <definedName name="_____rev1" localSheetId="12">[2]Resumo!#REF!</definedName>
    <definedName name="_____rev1" localSheetId="0">#REF!</definedName>
    <definedName name="_____rev1" localSheetId="14">[3]Resumo!#REF!</definedName>
    <definedName name="_____rev1" localSheetId="9">#REF!</definedName>
    <definedName name="_____rev1">#REF!</definedName>
    <definedName name="_____rev11" localSheetId="1">#REF!</definedName>
    <definedName name="_____rev11" localSheetId="11">#REF!</definedName>
    <definedName name="_____rev11" localSheetId="7">#REF!</definedName>
    <definedName name="_____rev11" localSheetId="12">[2]Resumo!#REF!</definedName>
    <definedName name="_____rev11" localSheetId="0">#REF!</definedName>
    <definedName name="_____rev11" localSheetId="14">[3]Resumo!#REF!</definedName>
    <definedName name="_____rev11" localSheetId="9">#REF!</definedName>
    <definedName name="_____rev11">#REF!</definedName>
    <definedName name="_____rev2" localSheetId="11">#REF!</definedName>
    <definedName name="_____rev2" localSheetId="7">#REF!</definedName>
    <definedName name="_____rev2" localSheetId="12">[2]Resumo!#REF!</definedName>
    <definedName name="_____rev2" localSheetId="0">#REF!</definedName>
    <definedName name="_____rev2" localSheetId="14">[3]Resumo!#REF!</definedName>
    <definedName name="_____rev2" localSheetId="9">#REF!</definedName>
    <definedName name="_____rev2">#REF!</definedName>
    <definedName name="_____rev5" localSheetId="11">#REF!</definedName>
    <definedName name="_____rev5" localSheetId="7">#REF!</definedName>
    <definedName name="_____rev5" localSheetId="12">[2]Resumo!#REF!</definedName>
    <definedName name="_____rev5" localSheetId="0">#REF!</definedName>
    <definedName name="_____rev5" localSheetId="14">[3]Resumo!#REF!</definedName>
    <definedName name="_____rev5" localSheetId="9">#REF!</definedName>
    <definedName name="_____rev5">#REF!</definedName>
    <definedName name="_____rev6" localSheetId="7">#REF!</definedName>
    <definedName name="_____rev6" localSheetId="12">[2]Resumo!#REF!</definedName>
    <definedName name="_____rev6" localSheetId="14">[3]Resumo!#REF!</definedName>
    <definedName name="_____rev6" localSheetId="9">#REF!</definedName>
    <definedName name="_____rev6">#REF!</definedName>
    <definedName name="_____rev8" localSheetId="7">#REF!</definedName>
    <definedName name="_____rev8" localSheetId="12">[2]Resumo!#REF!</definedName>
    <definedName name="_____rev8" localSheetId="14">[3]Resumo!#REF!</definedName>
    <definedName name="_____rev8" localSheetId="9">#REF!</definedName>
    <definedName name="_____rev8">#REF!</definedName>
    <definedName name="_____TAB1" localSheetId="1">#REF!</definedName>
    <definedName name="_____TAB1" localSheetId="11">#REF!</definedName>
    <definedName name="_____TAB1" localSheetId="7">#REF!</definedName>
    <definedName name="_____TAB1" localSheetId="12">#REF!</definedName>
    <definedName name="_____TAB1" localSheetId="0">#REF!</definedName>
    <definedName name="_____TAB1" localSheetId="14">#REF!</definedName>
    <definedName name="_____TAB1" localSheetId="9">#REF!</definedName>
    <definedName name="_____TAB1">#REF!</definedName>
    <definedName name="_____TAB2" localSheetId="1">#REF!</definedName>
    <definedName name="_____TAB2" localSheetId="12">#REF!</definedName>
    <definedName name="_____TAB2" localSheetId="0">#REF!</definedName>
    <definedName name="_____TAB2" localSheetId="14">#REF!</definedName>
    <definedName name="_____TAB2" localSheetId="9">#REF!</definedName>
    <definedName name="_____TAB2">#REF!</definedName>
    <definedName name="_____TAB3" localSheetId="1">#REF!</definedName>
    <definedName name="_____TAB3" localSheetId="12">#REF!</definedName>
    <definedName name="_____TAB3" localSheetId="0">#REF!</definedName>
    <definedName name="_____TAB3" localSheetId="14">#REF!</definedName>
    <definedName name="_____TAB3" localSheetId="9">#REF!</definedName>
    <definedName name="_____TAB3">#REF!</definedName>
    <definedName name="____aux1" localSheetId="1">#REF!</definedName>
    <definedName name="____aux1" localSheetId="11">#REF!</definedName>
    <definedName name="____aux1" localSheetId="7">#REF!</definedName>
    <definedName name="____aux1" localSheetId="12">[2]Resumo!#REF!</definedName>
    <definedName name="____aux1" localSheetId="0">#REF!</definedName>
    <definedName name="____aux1" localSheetId="14">[3]Resumo!#REF!</definedName>
    <definedName name="____aux1" localSheetId="9">#REF!</definedName>
    <definedName name="____aux1">#REF!</definedName>
    <definedName name="____aux2" localSheetId="11">#REF!</definedName>
    <definedName name="____aux2" localSheetId="7">#REF!</definedName>
    <definedName name="____aux2" localSheetId="12">[2]Resumo!#REF!</definedName>
    <definedName name="____aux2" localSheetId="0">#REF!</definedName>
    <definedName name="____aux2" localSheetId="14">[3]Resumo!#REF!</definedName>
    <definedName name="____aux2" localSheetId="9">#REF!</definedName>
    <definedName name="____aux2">#REF!</definedName>
    <definedName name="____aux5" localSheetId="11">#REF!</definedName>
    <definedName name="____aux5" localSheetId="7">#REF!</definedName>
    <definedName name="____aux5" localSheetId="12">[2]Resumo!#REF!</definedName>
    <definedName name="____aux5" localSheetId="14">[3]Resumo!#REF!</definedName>
    <definedName name="____aux5" localSheetId="9">#REF!</definedName>
    <definedName name="____aux5">#REF!</definedName>
    <definedName name="____aux6" localSheetId="7">#REF!</definedName>
    <definedName name="____aux6" localSheetId="12">[2]Resumo!#REF!</definedName>
    <definedName name="____aux6" localSheetId="14">[3]Resumo!#REF!</definedName>
    <definedName name="____aux6" localSheetId="9">#REF!</definedName>
    <definedName name="____aux6">#REF!</definedName>
    <definedName name="____aux8" localSheetId="7">#REF!</definedName>
    <definedName name="____aux8" localSheetId="12">[2]Resumo!#REF!</definedName>
    <definedName name="____aux8" localSheetId="14">[3]Resumo!#REF!</definedName>
    <definedName name="____aux8" localSheetId="9">#REF!</definedName>
    <definedName name="____aux8">#REF!</definedName>
    <definedName name="____cab1" localSheetId="1">#REF!</definedName>
    <definedName name="____cab1" localSheetId="11">#REF!</definedName>
    <definedName name="____cab1" localSheetId="7">#REF!</definedName>
    <definedName name="____cab1" localSheetId="12">#REF!</definedName>
    <definedName name="____cab1" localSheetId="0">#REF!</definedName>
    <definedName name="____cab1" localSheetId="14">#REF!</definedName>
    <definedName name="____cab1" localSheetId="9">#REF!</definedName>
    <definedName name="____cab1">#REF!</definedName>
    <definedName name="____cab2" localSheetId="1">#REF!</definedName>
    <definedName name="____cab2" localSheetId="12">#REF!</definedName>
    <definedName name="____cab2" localSheetId="0">#REF!</definedName>
    <definedName name="____cab2" localSheetId="14">#REF!</definedName>
    <definedName name="____cab2" localSheetId="9">#REF!</definedName>
    <definedName name="____cab2">#REF!</definedName>
    <definedName name="____cab3" localSheetId="7">#REF!</definedName>
    <definedName name="____cab3" localSheetId="12">[4]PFAB!$1:$12</definedName>
    <definedName name="____cab3" localSheetId="14">[5]PFAB!$1:$12</definedName>
    <definedName name="____cab3" localSheetId="9">#REF!</definedName>
    <definedName name="____cab3">#REF!</definedName>
    <definedName name="____cab4" localSheetId="7">#REF!</definedName>
    <definedName name="____cab4" localSheetId="12">[4]FERR!$1:$12</definedName>
    <definedName name="____cab4" localSheetId="14">[5]FERR!$1:$12</definedName>
    <definedName name="____cab4" localSheetId="9">#REF!</definedName>
    <definedName name="____cab4">#REF!</definedName>
    <definedName name="____cab5" localSheetId="7">#REF!</definedName>
    <definedName name="____cab5" localSheetId="12">[4]ISOL!$1:$12</definedName>
    <definedName name="____cab5" localSheetId="14">[5]ISOL!$1:$12</definedName>
    <definedName name="____cab5" localSheetId="9">#REF!</definedName>
    <definedName name="____cab5">#REF!</definedName>
    <definedName name="____cab6" localSheetId="7">#REF!</definedName>
    <definedName name="____cab6" localSheetId="12">[4]ISOL!$1:$12</definedName>
    <definedName name="____cab6" localSheetId="14">[5]ISOL!$1:$12</definedName>
    <definedName name="____cab6" localSheetId="9">#REF!</definedName>
    <definedName name="____cab6">#REF!</definedName>
    <definedName name="____cab7" localSheetId="1">#REF!</definedName>
    <definedName name="____cab7" localSheetId="11">#REF!</definedName>
    <definedName name="____cab7" localSheetId="7">#REF!</definedName>
    <definedName name="____cab7" localSheetId="12">#REF!</definedName>
    <definedName name="____cab7" localSheetId="0">#REF!</definedName>
    <definedName name="____cab7" localSheetId="14">#REF!</definedName>
    <definedName name="____cab7" localSheetId="9">#REF!</definedName>
    <definedName name="____cab7">#REF!</definedName>
    <definedName name="____DAT1" localSheetId="1">#REF!</definedName>
    <definedName name="____DAT1" localSheetId="7">#REF!</definedName>
    <definedName name="____DAT1" localSheetId="12">#REF!</definedName>
    <definedName name="____DAT1" localSheetId="0">#REF!</definedName>
    <definedName name="____DAT1" localSheetId="14">#REF!</definedName>
    <definedName name="____DAT1" localSheetId="9">#REF!</definedName>
    <definedName name="____DAT1">#REF!</definedName>
    <definedName name="____DAT10" localSheetId="1">#REF!</definedName>
    <definedName name="____DAT10" localSheetId="7">#REF!</definedName>
    <definedName name="____DAT10" localSheetId="12">#REF!</definedName>
    <definedName name="____DAT10" localSheetId="0">#REF!</definedName>
    <definedName name="____DAT10" localSheetId="14">#REF!</definedName>
    <definedName name="____DAT10" localSheetId="9">#REF!</definedName>
    <definedName name="____DAT10">#REF!</definedName>
    <definedName name="____DAT11" localSheetId="1">#REF!</definedName>
    <definedName name="____DAT11" localSheetId="12">#REF!</definedName>
    <definedName name="____DAT11" localSheetId="0">#REF!</definedName>
    <definedName name="____DAT11" localSheetId="14">#REF!</definedName>
    <definedName name="____DAT11" localSheetId="9">#REF!</definedName>
    <definedName name="____DAT11">#REF!</definedName>
    <definedName name="____DAT12" localSheetId="1">#REF!</definedName>
    <definedName name="____DAT12" localSheetId="12">#REF!</definedName>
    <definedName name="____DAT12" localSheetId="0">#REF!</definedName>
    <definedName name="____DAT12" localSheetId="14">#REF!</definedName>
    <definedName name="____DAT12" localSheetId="9">#REF!</definedName>
    <definedName name="____DAT12">#REF!</definedName>
    <definedName name="____DAT13" localSheetId="1">#REF!</definedName>
    <definedName name="____DAT13" localSheetId="12">#REF!</definedName>
    <definedName name="____DAT13" localSheetId="0">#REF!</definedName>
    <definedName name="____DAT13" localSheetId="14">#REF!</definedName>
    <definedName name="____DAT13" localSheetId="9">#REF!</definedName>
    <definedName name="____DAT13">#REF!</definedName>
    <definedName name="____DAT14" localSheetId="1">#REF!</definedName>
    <definedName name="____DAT14" localSheetId="12">#REF!</definedName>
    <definedName name="____DAT14" localSheetId="0">#REF!</definedName>
    <definedName name="____DAT14" localSheetId="14">#REF!</definedName>
    <definedName name="____DAT14" localSheetId="9">#REF!</definedName>
    <definedName name="____DAT14">#REF!</definedName>
    <definedName name="____DAT15" localSheetId="1">#REF!</definedName>
    <definedName name="____DAT15" localSheetId="12">#REF!</definedName>
    <definedName name="____DAT15" localSheetId="0">#REF!</definedName>
    <definedName name="____DAT15" localSheetId="14">#REF!</definedName>
    <definedName name="____DAT15" localSheetId="9">#REF!</definedName>
    <definedName name="____DAT15">#REF!</definedName>
    <definedName name="____DAT2" localSheetId="1">#REF!</definedName>
    <definedName name="____DAT2" localSheetId="12">#REF!</definedName>
    <definedName name="____DAT2" localSheetId="0">#REF!</definedName>
    <definedName name="____DAT2" localSheetId="14">#REF!</definedName>
    <definedName name="____DAT2" localSheetId="9">#REF!</definedName>
    <definedName name="____DAT2">#REF!</definedName>
    <definedName name="____DAT3" localSheetId="1">#REF!</definedName>
    <definedName name="____DAT3" localSheetId="12">#REF!</definedName>
    <definedName name="____DAT3" localSheetId="0">#REF!</definedName>
    <definedName name="____DAT3" localSheetId="14">#REF!</definedName>
    <definedName name="____DAT3" localSheetId="9">#REF!</definedName>
    <definedName name="____DAT3">#REF!</definedName>
    <definedName name="____DAT4" localSheetId="1">#REF!</definedName>
    <definedName name="____DAT4" localSheetId="12">#REF!</definedName>
    <definedName name="____DAT4" localSheetId="0">#REF!</definedName>
    <definedName name="____DAT4" localSheetId="14">#REF!</definedName>
    <definedName name="____DAT4" localSheetId="9">#REF!</definedName>
    <definedName name="____DAT4">#REF!</definedName>
    <definedName name="____DAT5" localSheetId="1">#REF!</definedName>
    <definedName name="____DAT5" localSheetId="12">#REF!</definedName>
    <definedName name="____DAT5" localSheetId="0">#REF!</definedName>
    <definedName name="____DAT5" localSheetId="14">#REF!</definedName>
    <definedName name="____DAT5" localSheetId="9">#REF!</definedName>
    <definedName name="____DAT5">#REF!</definedName>
    <definedName name="____DAT6" localSheetId="1">#REF!</definedName>
    <definedName name="____DAT6" localSheetId="12">#REF!</definedName>
    <definedName name="____DAT6" localSheetId="0">#REF!</definedName>
    <definedName name="____DAT6" localSheetId="14">#REF!</definedName>
    <definedName name="____DAT6" localSheetId="9">#REF!</definedName>
    <definedName name="____DAT6">#REF!</definedName>
    <definedName name="____DAT7" localSheetId="1">#REF!</definedName>
    <definedName name="____DAT7" localSheetId="12">#REF!</definedName>
    <definedName name="____DAT7" localSheetId="0">#REF!</definedName>
    <definedName name="____DAT7" localSheetId="14">#REF!</definedName>
    <definedName name="____DAT7" localSheetId="9">#REF!</definedName>
    <definedName name="____DAT7">#REF!</definedName>
    <definedName name="____DAT8" localSheetId="1">#REF!</definedName>
    <definedName name="____DAT8" localSheetId="12">#REF!</definedName>
    <definedName name="____DAT8" localSheetId="0">#REF!</definedName>
    <definedName name="____DAT8" localSheetId="14">#REF!</definedName>
    <definedName name="____DAT8" localSheetId="9">#REF!</definedName>
    <definedName name="____DAT8">#REF!</definedName>
    <definedName name="____DAT9" localSheetId="1">#REF!</definedName>
    <definedName name="____DAT9" localSheetId="12">#REF!</definedName>
    <definedName name="____DAT9" localSheetId="0">#REF!</definedName>
    <definedName name="____DAT9" localSheetId="14">#REF!</definedName>
    <definedName name="____DAT9" localSheetId="9">#REF!</definedName>
    <definedName name="____DAT9">#REF!</definedName>
    <definedName name="____dd1" localSheetId="11" hidden="1">{#N/A,#N/A,FALSE,"ET-CAPA";#N/A,#N/A,FALSE,"ET-PAG1";#N/A,#N/A,FALSE,"ET-PAG2";#N/A,#N/A,FALSE,"ET-PAG3";#N/A,#N/A,FALSE,"ET-PAG4";#N/A,#N/A,FALSE,"ET-PAG5"}</definedName>
    <definedName name="____dd1" localSheetId="12" hidden="1">{#N/A,#N/A,FALSE,"ET-CAPA";#N/A,#N/A,FALSE,"ET-PAG1";#N/A,#N/A,FALSE,"ET-PAG2";#N/A,#N/A,FALSE,"ET-PAG3";#N/A,#N/A,FALSE,"ET-PAG4";#N/A,#N/A,FALSE,"ET-PAG5"}</definedName>
    <definedName name="____dd1" localSheetId="14" hidden="1">{#N/A,#N/A,FALSE,"ET-CAPA";#N/A,#N/A,FALSE,"ET-PAG1";#N/A,#N/A,FALSE,"ET-PAG2";#N/A,#N/A,FALSE,"ET-PAG3";#N/A,#N/A,FALSE,"ET-PAG4";#N/A,#N/A,FALSE,"ET-PAG5"}</definedName>
    <definedName name="____dd1" localSheetId="9" hidden="1">{#N/A,#N/A,FALSE,"ET-CAPA";#N/A,#N/A,FALSE,"ET-PAG1";#N/A,#N/A,FALSE,"ET-PAG2";#N/A,#N/A,FALSE,"ET-PAG3";#N/A,#N/A,FALSE,"ET-PAG4";#N/A,#N/A,FALSE,"ET-PAG5"}</definedName>
    <definedName name="____dd1" hidden="1">{#N/A,#N/A,FALSE,"ET-CAPA";#N/A,#N/A,FALSE,"ET-PAG1";#N/A,#N/A,FALSE,"ET-PAG2";#N/A,#N/A,FALSE,"ET-PAG3";#N/A,#N/A,FALSE,"ET-PAG4";#N/A,#N/A,FALSE,"ET-PAG5"}</definedName>
    <definedName name="____iso1" localSheetId="7">#REF!</definedName>
    <definedName name="____iso1" localSheetId="12">[2]Resumo!#REF!</definedName>
    <definedName name="____iso1" localSheetId="0">#REF!</definedName>
    <definedName name="____iso1" localSheetId="14">[3]Resumo!#REF!</definedName>
    <definedName name="____iso1" localSheetId="9">#REF!</definedName>
    <definedName name="____iso1">#REF!</definedName>
    <definedName name="____iso11" localSheetId="7">#REF!</definedName>
    <definedName name="____iso11" localSheetId="12">[2]Resumo!#REF!</definedName>
    <definedName name="____iso11" localSheetId="0">#REF!</definedName>
    <definedName name="____iso11" localSheetId="14">[3]Resumo!#REF!</definedName>
    <definedName name="____iso11" localSheetId="9">#REF!</definedName>
    <definedName name="____iso11">#REF!</definedName>
    <definedName name="____iso2" localSheetId="7">#REF!</definedName>
    <definedName name="____iso2" localSheetId="12">[2]Resumo!#REF!</definedName>
    <definedName name="____iso2" localSheetId="0">#REF!</definedName>
    <definedName name="____iso2" localSheetId="14">[3]Resumo!#REF!</definedName>
    <definedName name="____iso2" localSheetId="9">#REF!</definedName>
    <definedName name="____iso2">#REF!</definedName>
    <definedName name="____iso5" localSheetId="7">#REF!</definedName>
    <definedName name="____iso5" localSheetId="12">[2]Resumo!#REF!</definedName>
    <definedName name="____iso5" localSheetId="0">#REF!</definedName>
    <definedName name="____iso5" localSheetId="14">[3]Resumo!#REF!</definedName>
    <definedName name="____iso5" localSheetId="9">#REF!</definedName>
    <definedName name="____iso5">#REF!</definedName>
    <definedName name="____iso6" localSheetId="7">#REF!</definedName>
    <definedName name="____iso6" localSheetId="12">[2]Resumo!#REF!</definedName>
    <definedName name="____iso6" localSheetId="14">[3]Resumo!#REF!</definedName>
    <definedName name="____iso6" localSheetId="9">#REF!</definedName>
    <definedName name="____iso6">#REF!</definedName>
    <definedName name="____iso8" localSheetId="7">#REF!</definedName>
    <definedName name="____iso8" localSheetId="12">[2]Resumo!#REF!</definedName>
    <definedName name="____iso8" localSheetId="14">[3]Resumo!#REF!</definedName>
    <definedName name="____iso8" localSheetId="9">#REF!</definedName>
    <definedName name="____iso8">#REF!</definedName>
    <definedName name="____mo2" localSheetId="7">#REF!</definedName>
    <definedName name="____mo2" localSheetId="12">[2]Resumo!$X$442</definedName>
    <definedName name="____mo2" localSheetId="14">[3]Resumo!$X$442</definedName>
    <definedName name="____mo2" localSheetId="9">#REF!</definedName>
    <definedName name="____mo2">#REF!</definedName>
    <definedName name="____mo3" localSheetId="7">#REF!</definedName>
    <definedName name="____mo3" localSheetId="12">[2]Resumo!$X$394</definedName>
    <definedName name="____mo3" localSheetId="14">[3]Resumo!$X$394</definedName>
    <definedName name="____mo3" localSheetId="9">#REF!</definedName>
    <definedName name="____mo3">#REF!</definedName>
    <definedName name="____mo5" localSheetId="7">#REF!</definedName>
    <definedName name="____mo5" localSheetId="12">[2]Resumo!$X$13</definedName>
    <definedName name="____mo5" localSheetId="14">[3]Resumo!$X$13</definedName>
    <definedName name="____mo5" localSheetId="9">#REF!</definedName>
    <definedName name="____mo5">#REF!</definedName>
    <definedName name="____mo6" localSheetId="7">#REF!</definedName>
    <definedName name="____mo6" localSheetId="12">[2]Resumo!$X$26</definedName>
    <definedName name="____mo6" localSheetId="14">[3]Resumo!$X$26</definedName>
    <definedName name="____mo6" localSheetId="9">#REF!</definedName>
    <definedName name="____mo6">#REF!</definedName>
    <definedName name="____mo7" localSheetId="7">#REF!</definedName>
    <definedName name="____mo7" localSheetId="12">[2]Resumo!$X$118</definedName>
    <definedName name="____mo7" localSheetId="14">[3]Resumo!$X$118</definedName>
    <definedName name="____mo7" localSheetId="9">#REF!</definedName>
    <definedName name="____mo7">#REF!</definedName>
    <definedName name="____mo9" localSheetId="7">#REF!</definedName>
    <definedName name="____mo9" localSheetId="12">[2]Resumo!$X$450</definedName>
    <definedName name="____mo9" localSheetId="14">[3]Resumo!$X$450</definedName>
    <definedName name="____mo9" localSheetId="9">#REF!</definedName>
    <definedName name="____mo9">#REF!</definedName>
    <definedName name="____rev1" localSheetId="1">#REF!</definedName>
    <definedName name="____rev1" localSheetId="11">#REF!</definedName>
    <definedName name="____rev1" localSheetId="7">#REF!</definedName>
    <definedName name="____rev1" localSheetId="12">[2]Resumo!#REF!</definedName>
    <definedName name="____rev1" localSheetId="0">#REF!</definedName>
    <definedName name="____rev1" localSheetId="14">[3]Resumo!#REF!</definedName>
    <definedName name="____rev1" localSheetId="9">#REF!</definedName>
    <definedName name="____rev1">#REF!</definedName>
    <definedName name="____rev11" localSheetId="11">#REF!</definedName>
    <definedName name="____rev11" localSheetId="7">#REF!</definedName>
    <definedName name="____rev11" localSheetId="12">[2]Resumo!#REF!</definedName>
    <definedName name="____rev11" localSheetId="0">#REF!</definedName>
    <definedName name="____rev11" localSheetId="14">[3]Resumo!#REF!</definedName>
    <definedName name="____rev11" localSheetId="9">#REF!</definedName>
    <definedName name="____rev11">#REF!</definedName>
    <definedName name="____rev2" localSheetId="11">#REF!</definedName>
    <definedName name="____rev2" localSheetId="7">#REF!</definedName>
    <definedName name="____rev2" localSheetId="12">[2]Resumo!#REF!</definedName>
    <definedName name="____rev2" localSheetId="0">#REF!</definedName>
    <definedName name="____rev2" localSheetId="14">[3]Resumo!#REF!</definedName>
    <definedName name="____rev2" localSheetId="9">#REF!</definedName>
    <definedName name="____rev2">#REF!</definedName>
    <definedName name="____rev5" localSheetId="11">#REF!</definedName>
    <definedName name="____rev5" localSheetId="7">#REF!</definedName>
    <definedName name="____rev5" localSheetId="12">[2]Resumo!#REF!</definedName>
    <definedName name="____rev5" localSheetId="0">#REF!</definedName>
    <definedName name="____rev5" localSheetId="14">[3]Resumo!#REF!</definedName>
    <definedName name="____rev5" localSheetId="9">#REF!</definedName>
    <definedName name="____rev5">#REF!</definedName>
    <definedName name="____rev6" localSheetId="7">#REF!</definedName>
    <definedName name="____rev6" localSheetId="12">[2]Resumo!#REF!</definedName>
    <definedName name="____rev6" localSheetId="14">[3]Resumo!#REF!</definedName>
    <definedName name="____rev6" localSheetId="9">#REF!</definedName>
    <definedName name="____rev6">#REF!</definedName>
    <definedName name="____rev8" localSheetId="7">#REF!</definedName>
    <definedName name="____rev8" localSheetId="12">[2]Resumo!#REF!</definedName>
    <definedName name="____rev8" localSheetId="14">[3]Resumo!#REF!</definedName>
    <definedName name="____rev8" localSheetId="9">#REF!</definedName>
    <definedName name="____rev8">#REF!</definedName>
    <definedName name="____TAB1" localSheetId="1">#REF!</definedName>
    <definedName name="____TAB1" localSheetId="11">#REF!</definedName>
    <definedName name="____TAB1" localSheetId="7">#REF!</definedName>
    <definedName name="____TAB1" localSheetId="12">#REF!</definedName>
    <definedName name="____TAB1" localSheetId="0">#REF!</definedName>
    <definedName name="____TAB1" localSheetId="14">#REF!</definedName>
    <definedName name="____TAB1" localSheetId="9">#REF!</definedName>
    <definedName name="____TAB1">#REF!</definedName>
    <definedName name="____TAB2" localSheetId="1">#REF!</definedName>
    <definedName name="____TAB2" localSheetId="7">#REF!</definedName>
    <definedName name="____TAB2" localSheetId="12">#REF!</definedName>
    <definedName name="____TAB2" localSheetId="0">#REF!</definedName>
    <definedName name="____TAB2" localSheetId="14">#REF!</definedName>
    <definedName name="____TAB2" localSheetId="9">#REF!</definedName>
    <definedName name="____TAB2">#REF!</definedName>
    <definedName name="____TAB3" localSheetId="1">#REF!</definedName>
    <definedName name="____TAB3" localSheetId="7">#REF!</definedName>
    <definedName name="____TAB3" localSheetId="12">#REF!</definedName>
    <definedName name="____TAB3" localSheetId="0">#REF!</definedName>
    <definedName name="____TAB3" localSheetId="14">#REF!</definedName>
    <definedName name="____TAB3" localSheetId="9">#REF!</definedName>
    <definedName name="____TAB3">#REF!</definedName>
    <definedName name="___aux1" localSheetId="1">#REF!</definedName>
    <definedName name="___aux1" localSheetId="11">#REF!</definedName>
    <definedName name="___aux1" localSheetId="7">#REF!</definedName>
    <definedName name="___aux1" localSheetId="12">[2]Resumo!#REF!</definedName>
    <definedName name="___aux1" localSheetId="0">#REF!</definedName>
    <definedName name="___aux1" localSheetId="14">[3]Resumo!#REF!</definedName>
    <definedName name="___aux1" localSheetId="9">#REF!</definedName>
    <definedName name="___aux1">#REF!</definedName>
    <definedName name="___aux2" localSheetId="11">#REF!</definedName>
    <definedName name="___aux2" localSheetId="7">#REF!</definedName>
    <definedName name="___aux2" localSheetId="12">[2]Resumo!#REF!</definedName>
    <definedName name="___aux2" localSheetId="0">#REF!</definedName>
    <definedName name="___aux2" localSheetId="14">[3]Resumo!#REF!</definedName>
    <definedName name="___aux2" localSheetId="9">#REF!</definedName>
    <definedName name="___aux2">#REF!</definedName>
    <definedName name="___aux5" localSheetId="11">#REF!</definedName>
    <definedName name="___aux5" localSheetId="7">#REF!</definedName>
    <definedName name="___aux5" localSheetId="12">[2]Resumo!#REF!</definedName>
    <definedName name="___aux5" localSheetId="14">[3]Resumo!#REF!</definedName>
    <definedName name="___aux5" localSheetId="9">#REF!</definedName>
    <definedName name="___aux5">#REF!</definedName>
    <definedName name="___aux6" localSheetId="7">#REF!</definedName>
    <definedName name="___aux6" localSheetId="12">[2]Resumo!#REF!</definedName>
    <definedName name="___aux6" localSheetId="14">[3]Resumo!#REF!</definedName>
    <definedName name="___aux6" localSheetId="9">#REF!</definedName>
    <definedName name="___aux6">#REF!</definedName>
    <definedName name="___aux8" localSheetId="7">#REF!</definedName>
    <definedName name="___aux8" localSheetId="12">[2]Resumo!#REF!</definedName>
    <definedName name="___aux8" localSheetId="14">[3]Resumo!#REF!</definedName>
    <definedName name="___aux8" localSheetId="9">#REF!</definedName>
    <definedName name="___aux8">#REF!</definedName>
    <definedName name="___cab1" localSheetId="1">#REF!</definedName>
    <definedName name="___cab1" localSheetId="11">#REF!</definedName>
    <definedName name="___cab1" localSheetId="7">#REF!</definedName>
    <definedName name="___cab1" localSheetId="12">#REF!</definedName>
    <definedName name="___cab1" localSheetId="0">#REF!</definedName>
    <definedName name="___cab1" localSheetId="14">#REF!</definedName>
    <definedName name="___cab1" localSheetId="9">#REF!</definedName>
    <definedName name="___cab1">#REF!</definedName>
    <definedName name="___cab2" localSheetId="1">#REF!</definedName>
    <definedName name="___cab2" localSheetId="7">#REF!</definedName>
    <definedName name="___cab2" localSheetId="12">#REF!</definedName>
    <definedName name="___cab2" localSheetId="0">#REF!</definedName>
    <definedName name="___cab2" localSheetId="14">#REF!</definedName>
    <definedName name="___cab2" localSheetId="9">#REF!</definedName>
    <definedName name="___cab2">#REF!</definedName>
    <definedName name="___cab3" localSheetId="7">#REF!</definedName>
    <definedName name="___cab3" localSheetId="12">[4]PFAB!$1:$12</definedName>
    <definedName name="___cab3" localSheetId="14">[5]PFAB!$1:$12</definedName>
    <definedName name="___cab3" localSheetId="9">#REF!</definedName>
    <definedName name="___cab3">#REF!</definedName>
    <definedName name="___cab4" localSheetId="7">#REF!</definedName>
    <definedName name="___cab4" localSheetId="12">[4]FERR!$1:$12</definedName>
    <definedName name="___cab4" localSheetId="14">[5]FERR!$1:$12</definedName>
    <definedName name="___cab4" localSheetId="9">#REF!</definedName>
    <definedName name="___cab4">#REF!</definedName>
    <definedName name="___cab5" localSheetId="7">#REF!</definedName>
    <definedName name="___cab5" localSheetId="12">[4]ISOL!$1:$12</definedName>
    <definedName name="___cab5" localSheetId="14">[5]ISOL!$1:$12</definedName>
    <definedName name="___cab5" localSheetId="9">#REF!</definedName>
    <definedName name="___cab5">#REF!</definedName>
    <definedName name="___cab6" localSheetId="7">#REF!</definedName>
    <definedName name="___cab6" localSheetId="12">[4]ISOL!$1:$12</definedName>
    <definedName name="___cab6" localSheetId="14">[5]ISOL!$1:$12</definedName>
    <definedName name="___cab6" localSheetId="9">#REF!</definedName>
    <definedName name="___cab6">#REF!</definedName>
    <definedName name="___cab7" localSheetId="1">#REF!</definedName>
    <definedName name="___cab7" localSheetId="11">#REF!</definedName>
    <definedName name="___cab7" localSheetId="7">#REF!</definedName>
    <definedName name="___cab7" localSheetId="12">#REF!</definedName>
    <definedName name="___cab7" localSheetId="0">#REF!</definedName>
    <definedName name="___cab7" localSheetId="14">#REF!</definedName>
    <definedName name="___cab7" localSheetId="9">#REF!</definedName>
    <definedName name="___cab7">#REF!</definedName>
    <definedName name="___DAT1" localSheetId="1">#REF!</definedName>
    <definedName name="___DAT1" localSheetId="7">#REF!</definedName>
    <definedName name="___DAT1" localSheetId="12">#REF!</definedName>
    <definedName name="___DAT1" localSheetId="0">#REF!</definedName>
    <definedName name="___DAT1" localSheetId="14">#REF!</definedName>
    <definedName name="___DAT1" localSheetId="9">#REF!</definedName>
    <definedName name="___DAT1">#REF!</definedName>
    <definedName name="___DAT10" localSheetId="1">#REF!</definedName>
    <definedName name="___DAT10" localSheetId="7">#REF!</definedName>
    <definedName name="___DAT10" localSheetId="12">#REF!</definedName>
    <definedName name="___DAT10" localSheetId="0">#REF!</definedName>
    <definedName name="___DAT10" localSheetId="14">#REF!</definedName>
    <definedName name="___DAT10" localSheetId="9">#REF!</definedName>
    <definedName name="___DAT10">#REF!</definedName>
    <definedName name="___DAT11" localSheetId="1">#REF!</definedName>
    <definedName name="___DAT11" localSheetId="12">#REF!</definedName>
    <definedName name="___DAT11" localSheetId="0">#REF!</definedName>
    <definedName name="___DAT11" localSheetId="14">#REF!</definedName>
    <definedName name="___DAT11" localSheetId="9">#REF!</definedName>
    <definedName name="___DAT11">#REF!</definedName>
    <definedName name="___DAT12" localSheetId="1">#REF!</definedName>
    <definedName name="___DAT12" localSheetId="12">#REF!</definedName>
    <definedName name="___DAT12" localSheetId="0">#REF!</definedName>
    <definedName name="___DAT12" localSheetId="14">#REF!</definedName>
    <definedName name="___DAT12" localSheetId="9">#REF!</definedName>
    <definedName name="___DAT12">#REF!</definedName>
    <definedName name="___DAT13" localSheetId="1">#REF!</definedName>
    <definedName name="___DAT13" localSheetId="12">#REF!</definedName>
    <definedName name="___DAT13" localSheetId="0">#REF!</definedName>
    <definedName name="___DAT13" localSheetId="14">#REF!</definedName>
    <definedName name="___DAT13" localSheetId="9">#REF!</definedName>
    <definedName name="___DAT13">#REF!</definedName>
    <definedName name="___DAT14" localSheetId="1">#REF!</definedName>
    <definedName name="___DAT14" localSheetId="12">#REF!</definedName>
    <definedName name="___DAT14" localSheetId="0">#REF!</definedName>
    <definedName name="___DAT14" localSheetId="14">#REF!</definedName>
    <definedName name="___DAT14" localSheetId="9">#REF!</definedName>
    <definedName name="___DAT14">#REF!</definedName>
    <definedName name="___DAT15" localSheetId="1">#REF!</definedName>
    <definedName name="___DAT15" localSheetId="12">#REF!</definedName>
    <definedName name="___DAT15" localSheetId="0">#REF!</definedName>
    <definedName name="___DAT15" localSheetId="14">#REF!</definedName>
    <definedName name="___DAT15" localSheetId="9">#REF!</definedName>
    <definedName name="___DAT15">#REF!</definedName>
    <definedName name="___DAT2" localSheetId="1">#REF!</definedName>
    <definedName name="___DAT2" localSheetId="12">#REF!</definedName>
    <definedName name="___DAT2" localSheetId="0">#REF!</definedName>
    <definedName name="___DAT2" localSheetId="14">#REF!</definedName>
    <definedName name="___DAT2" localSheetId="9">#REF!</definedName>
    <definedName name="___DAT2">#REF!</definedName>
    <definedName name="___DAT3" localSheetId="1">#REF!</definedName>
    <definedName name="___DAT3" localSheetId="12">#REF!</definedName>
    <definedName name="___DAT3" localSheetId="0">#REF!</definedName>
    <definedName name="___DAT3" localSheetId="14">#REF!</definedName>
    <definedName name="___DAT3" localSheetId="9">#REF!</definedName>
    <definedName name="___DAT3">#REF!</definedName>
    <definedName name="___DAT4" localSheetId="1">#REF!</definedName>
    <definedName name="___DAT4" localSheetId="12">#REF!</definedName>
    <definedName name="___DAT4" localSheetId="0">#REF!</definedName>
    <definedName name="___DAT4" localSheetId="14">#REF!</definedName>
    <definedName name="___DAT4" localSheetId="9">#REF!</definedName>
    <definedName name="___DAT4">#REF!</definedName>
    <definedName name="___DAT5" localSheetId="1">#REF!</definedName>
    <definedName name="___DAT5" localSheetId="12">#REF!</definedName>
    <definedName name="___DAT5" localSheetId="0">#REF!</definedName>
    <definedName name="___DAT5" localSheetId="14">#REF!</definedName>
    <definedName name="___DAT5" localSheetId="9">#REF!</definedName>
    <definedName name="___DAT5">#REF!</definedName>
    <definedName name="___DAT6" localSheetId="1">#REF!</definedName>
    <definedName name="___DAT6" localSheetId="12">#REF!</definedName>
    <definedName name="___DAT6" localSheetId="0">#REF!</definedName>
    <definedName name="___DAT6" localSheetId="14">#REF!</definedName>
    <definedName name="___DAT6" localSheetId="9">#REF!</definedName>
    <definedName name="___DAT6">#REF!</definedName>
    <definedName name="___DAT7" localSheetId="1">#REF!</definedName>
    <definedName name="___DAT7" localSheetId="12">#REF!</definedName>
    <definedName name="___DAT7" localSheetId="0">#REF!</definedName>
    <definedName name="___DAT7" localSheetId="14">#REF!</definedName>
    <definedName name="___DAT7" localSheetId="9">#REF!</definedName>
    <definedName name="___DAT7">#REF!</definedName>
    <definedName name="___DAT8" localSheetId="1">#REF!</definedName>
    <definedName name="___DAT8" localSheetId="12">#REF!</definedName>
    <definedName name="___DAT8" localSheetId="0">#REF!</definedName>
    <definedName name="___DAT8" localSheetId="14">#REF!</definedName>
    <definedName name="___DAT8" localSheetId="9">#REF!</definedName>
    <definedName name="___DAT8">#REF!</definedName>
    <definedName name="___DAT9" localSheetId="1">#REF!</definedName>
    <definedName name="___DAT9" localSheetId="12">#REF!</definedName>
    <definedName name="___DAT9" localSheetId="0">#REF!</definedName>
    <definedName name="___DAT9" localSheetId="14">#REF!</definedName>
    <definedName name="___DAT9" localSheetId="9">#REF!</definedName>
    <definedName name="___DAT9">#REF!</definedName>
    <definedName name="___dd1" localSheetId="11" hidden="1">{#N/A,#N/A,FALSE,"ET-CAPA";#N/A,#N/A,FALSE,"ET-PAG1";#N/A,#N/A,FALSE,"ET-PAG2";#N/A,#N/A,FALSE,"ET-PAG3";#N/A,#N/A,FALSE,"ET-PAG4";#N/A,#N/A,FALSE,"ET-PAG5"}</definedName>
    <definedName name="___dd1" localSheetId="12" hidden="1">{#N/A,#N/A,FALSE,"ET-CAPA";#N/A,#N/A,FALSE,"ET-PAG1";#N/A,#N/A,FALSE,"ET-PAG2";#N/A,#N/A,FALSE,"ET-PAG3";#N/A,#N/A,FALSE,"ET-PAG4";#N/A,#N/A,FALSE,"ET-PAG5"}</definedName>
    <definedName name="___dd1" localSheetId="14" hidden="1">{#N/A,#N/A,FALSE,"ET-CAPA";#N/A,#N/A,FALSE,"ET-PAG1";#N/A,#N/A,FALSE,"ET-PAG2";#N/A,#N/A,FALSE,"ET-PAG3";#N/A,#N/A,FALSE,"ET-PAG4";#N/A,#N/A,FALSE,"ET-PAG5"}</definedName>
    <definedName name="___dd1" localSheetId="9" hidden="1">{#N/A,#N/A,FALSE,"ET-CAPA";#N/A,#N/A,FALSE,"ET-PAG1";#N/A,#N/A,FALSE,"ET-PAG2";#N/A,#N/A,FALSE,"ET-PAG3";#N/A,#N/A,FALSE,"ET-PAG4";#N/A,#N/A,FALSE,"ET-PAG5"}</definedName>
    <definedName name="___dd1" hidden="1">{#N/A,#N/A,FALSE,"ET-CAPA";#N/A,#N/A,FALSE,"ET-PAG1";#N/A,#N/A,FALSE,"ET-PAG2";#N/A,#N/A,FALSE,"ET-PAG3";#N/A,#N/A,FALSE,"ET-PAG4";#N/A,#N/A,FALSE,"ET-PAG5"}</definedName>
    <definedName name="___iso1" localSheetId="7">#REF!</definedName>
    <definedName name="___iso1" localSheetId="12">[2]Resumo!#REF!</definedName>
    <definedName name="___iso1" localSheetId="0">#REF!</definedName>
    <definedName name="___iso1" localSheetId="14">[3]Resumo!#REF!</definedName>
    <definedName name="___iso1" localSheetId="9">#REF!</definedName>
    <definedName name="___iso1">#REF!</definedName>
    <definedName name="___iso11" localSheetId="7">#REF!</definedName>
    <definedName name="___iso11" localSheetId="12">[2]Resumo!#REF!</definedName>
    <definedName name="___iso11" localSheetId="0">#REF!</definedName>
    <definedName name="___iso11" localSheetId="14">[3]Resumo!#REF!</definedName>
    <definedName name="___iso11" localSheetId="9">#REF!</definedName>
    <definedName name="___iso11">#REF!</definedName>
    <definedName name="___iso2" localSheetId="7">#REF!</definedName>
    <definedName name="___iso2" localSheetId="12">[2]Resumo!#REF!</definedName>
    <definedName name="___iso2" localSheetId="0">#REF!</definedName>
    <definedName name="___iso2" localSheetId="14">[3]Resumo!#REF!</definedName>
    <definedName name="___iso2" localSheetId="9">#REF!</definedName>
    <definedName name="___iso2">#REF!</definedName>
    <definedName name="___iso5" localSheetId="7">#REF!</definedName>
    <definedName name="___iso5" localSheetId="12">[2]Resumo!#REF!</definedName>
    <definedName name="___iso5" localSheetId="0">#REF!</definedName>
    <definedName name="___iso5" localSheetId="14">[3]Resumo!#REF!</definedName>
    <definedName name="___iso5" localSheetId="9">#REF!</definedName>
    <definedName name="___iso5">#REF!</definedName>
    <definedName name="___iso6" localSheetId="7">#REF!</definedName>
    <definedName name="___iso6" localSheetId="12">[2]Resumo!#REF!</definedName>
    <definedName name="___iso6" localSheetId="14">[3]Resumo!#REF!</definedName>
    <definedName name="___iso6" localSheetId="9">#REF!</definedName>
    <definedName name="___iso6">#REF!</definedName>
    <definedName name="___iso8" localSheetId="7">#REF!</definedName>
    <definedName name="___iso8" localSheetId="12">[2]Resumo!#REF!</definedName>
    <definedName name="___iso8" localSheetId="14">[3]Resumo!#REF!</definedName>
    <definedName name="___iso8" localSheetId="9">#REF!</definedName>
    <definedName name="___iso8">#REF!</definedName>
    <definedName name="___mo2" localSheetId="7">#REF!</definedName>
    <definedName name="___mo2" localSheetId="12">[2]Resumo!$X$442</definedName>
    <definedName name="___mo2" localSheetId="14">[3]Resumo!$X$442</definedName>
    <definedName name="___mo2" localSheetId="9">#REF!</definedName>
    <definedName name="___mo2">#REF!</definedName>
    <definedName name="___mo3" localSheetId="7">#REF!</definedName>
    <definedName name="___mo3" localSheetId="12">[2]Resumo!$X$394</definedName>
    <definedName name="___mo3" localSheetId="14">[3]Resumo!$X$394</definedName>
    <definedName name="___mo3" localSheetId="9">#REF!</definedName>
    <definedName name="___mo3">#REF!</definedName>
    <definedName name="___mo5" localSheetId="7">#REF!</definedName>
    <definedName name="___mo5" localSheetId="12">[2]Resumo!$X$13</definedName>
    <definedName name="___mo5" localSheetId="14">[3]Resumo!$X$13</definedName>
    <definedName name="___mo5" localSheetId="9">#REF!</definedName>
    <definedName name="___mo5">#REF!</definedName>
    <definedName name="___mo6" localSheetId="7">#REF!</definedName>
    <definedName name="___mo6" localSheetId="12">[2]Resumo!$X$26</definedName>
    <definedName name="___mo6" localSheetId="14">[3]Resumo!$X$26</definedName>
    <definedName name="___mo6" localSheetId="9">#REF!</definedName>
    <definedName name="___mo6">#REF!</definedName>
    <definedName name="___mo7" localSheetId="7">#REF!</definedName>
    <definedName name="___mo7" localSheetId="12">[2]Resumo!$X$118</definedName>
    <definedName name="___mo7" localSheetId="14">[3]Resumo!$X$118</definedName>
    <definedName name="___mo7" localSheetId="9">#REF!</definedName>
    <definedName name="___mo7">#REF!</definedName>
    <definedName name="___mo9" localSheetId="7">#REF!</definedName>
    <definedName name="___mo9" localSheetId="12">[2]Resumo!$X$450</definedName>
    <definedName name="___mo9" localSheetId="14">[3]Resumo!$X$450</definedName>
    <definedName name="___mo9" localSheetId="9">#REF!</definedName>
    <definedName name="___mo9">#REF!</definedName>
    <definedName name="___rev1" localSheetId="1">#REF!</definedName>
    <definedName name="___rev1" localSheetId="11">#REF!</definedName>
    <definedName name="___rev1" localSheetId="7">#REF!</definedName>
    <definedName name="___rev1" localSheetId="12">[2]Resumo!#REF!</definedName>
    <definedName name="___rev1" localSheetId="0">#REF!</definedName>
    <definedName name="___rev1" localSheetId="14">[3]Resumo!#REF!</definedName>
    <definedName name="___rev1" localSheetId="9">#REF!</definedName>
    <definedName name="___rev1">#REF!</definedName>
    <definedName name="___rev11" localSheetId="11">#REF!</definedName>
    <definedName name="___rev11" localSheetId="7">#REF!</definedName>
    <definedName name="___rev11" localSheetId="12">[2]Resumo!#REF!</definedName>
    <definedName name="___rev11" localSheetId="0">#REF!</definedName>
    <definedName name="___rev11" localSheetId="14">[3]Resumo!#REF!</definedName>
    <definedName name="___rev11" localSheetId="9">#REF!</definedName>
    <definedName name="___rev11">#REF!</definedName>
    <definedName name="___rev2" localSheetId="11">#REF!</definedName>
    <definedName name="___rev2" localSheetId="7">#REF!</definedName>
    <definedName name="___rev2" localSheetId="12">[2]Resumo!#REF!</definedName>
    <definedName name="___rev2" localSheetId="0">#REF!</definedName>
    <definedName name="___rev2" localSheetId="14">[3]Resumo!#REF!</definedName>
    <definedName name="___rev2" localSheetId="9">#REF!</definedName>
    <definedName name="___rev2">#REF!</definedName>
    <definedName name="___rev5" localSheetId="11">#REF!</definedName>
    <definedName name="___rev5" localSheetId="7">#REF!</definedName>
    <definedName name="___rev5" localSheetId="12">[2]Resumo!#REF!</definedName>
    <definedName name="___rev5" localSheetId="0">#REF!</definedName>
    <definedName name="___rev5" localSheetId="14">[3]Resumo!#REF!</definedName>
    <definedName name="___rev5" localSheetId="9">#REF!</definedName>
    <definedName name="___rev5">#REF!</definedName>
    <definedName name="___rev6" localSheetId="7">#REF!</definedName>
    <definedName name="___rev6" localSheetId="12">[2]Resumo!#REF!</definedName>
    <definedName name="___rev6" localSheetId="14">[3]Resumo!#REF!</definedName>
    <definedName name="___rev6" localSheetId="9">#REF!</definedName>
    <definedName name="___rev6">#REF!</definedName>
    <definedName name="___rev8" localSheetId="7">#REF!</definedName>
    <definedName name="___rev8" localSheetId="12">[2]Resumo!#REF!</definedName>
    <definedName name="___rev8" localSheetId="14">[3]Resumo!#REF!</definedName>
    <definedName name="___rev8" localSheetId="9">#REF!</definedName>
    <definedName name="___rev8">#REF!</definedName>
    <definedName name="___TAB1" localSheetId="1">#REF!</definedName>
    <definedName name="___TAB1" localSheetId="11">#REF!</definedName>
    <definedName name="___TAB1" localSheetId="7">#REF!</definedName>
    <definedName name="___TAB1" localSheetId="12">#REF!</definedName>
    <definedName name="___TAB1" localSheetId="0">#REF!</definedName>
    <definedName name="___TAB1" localSheetId="14">#REF!</definedName>
    <definedName name="___TAB1" localSheetId="9">#REF!</definedName>
    <definedName name="___TAB1">#REF!</definedName>
    <definedName name="___TAB2" localSheetId="1">#REF!</definedName>
    <definedName name="___TAB2" localSheetId="7">#REF!</definedName>
    <definedName name="___TAB2" localSheetId="12">#REF!</definedName>
    <definedName name="___TAB2" localSheetId="0">#REF!</definedName>
    <definedName name="___TAB2" localSheetId="14">#REF!</definedName>
    <definedName name="___TAB2" localSheetId="9">#REF!</definedName>
    <definedName name="___TAB2">#REF!</definedName>
    <definedName name="___TAB3" localSheetId="1">#REF!</definedName>
    <definedName name="___TAB3" localSheetId="7">#REF!</definedName>
    <definedName name="___TAB3" localSheetId="12">#REF!</definedName>
    <definedName name="___TAB3" localSheetId="0">#REF!</definedName>
    <definedName name="___TAB3" localSheetId="14">#REF!</definedName>
    <definedName name="___TAB3" localSheetId="9">#REF!</definedName>
    <definedName name="___TAB3">#REF!</definedName>
    <definedName name="__123Graph_A" localSheetId="12" hidden="1">[6]DADOS!#REF!</definedName>
    <definedName name="__123Graph_A" localSheetId="14" hidden="1">[7]DADOS!#REF!</definedName>
    <definedName name="__123Graph_A" localSheetId="9" hidden="1">#REF!</definedName>
    <definedName name="__123Graph_A" hidden="1">#REF!</definedName>
    <definedName name="__123Graph_AACOLEUM" localSheetId="12" hidden="1">[6]DADOS!#REF!</definedName>
    <definedName name="__123Graph_AACOLEUM" localSheetId="14" hidden="1">[7]DADOS!#REF!</definedName>
    <definedName name="__123Graph_AACOLEUM" localSheetId="9" hidden="1">#REF!</definedName>
    <definedName name="__123Graph_AACOLEUM" hidden="1">#REF!</definedName>
    <definedName name="__123Graph_AAMONIA" localSheetId="12" hidden="1">[6]DADOS!#REF!</definedName>
    <definedName name="__123Graph_AAMONIA" localSheetId="14" hidden="1">[7]DADOS!#REF!</definedName>
    <definedName name="__123Graph_AAMONIA" localSheetId="9" hidden="1">#REF!</definedName>
    <definedName name="__123Graph_AAMONIA" hidden="1">#REF!</definedName>
    <definedName name="__123Graph_ABENZENO" localSheetId="12" hidden="1">[6]DADOS!#REF!</definedName>
    <definedName name="__123Graph_ABENZENO" localSheetId="14" hidden="1">[7]DADOS!#REF!</definedName>
    <definedName name="__123Graph_ABENZENO" localSheetId="9" hidden="1">#REF!</definedName>
    <definedName name="__123Graph_ABENZENO" hidden="1">#REF!</definedName>
    <definedName name="__123Graph_ACHEXANONA" localSheetId="12" hidden="1">[6]DADOS!#REF!</definedName>
    <definedName name="__123Graph_ACHEXANONA" localSheetId="14" hidden="1">[7]DADOS!#REF!</definedName>
    <definedName name="__123Graph_ACHEXANONA" localSheetId="9" hidden="1">#REF!</definedName>
    <definedName name="__123Graph_ACHEXANONA" hidden="1">#REF!</definedName>
    <definedName name="__123Graph_AHIDROGENIO" localSheetId="12" hidden="1">[6]DADOS!#REF!</definedName>
    <definedName name="__123Graph_AHIDROGENIO" localSheetId="14" hidden="1">[7]DADOS!#REF!</definedName>
    <definedName name="__123Graph_AHIDROGENIO" localSheetId="9" hidden="1">#REF!</definedName>
    <definedName name="__123Graph_AHIDROGENIO" hidden="1">#REF!</definedName>
    <definedName name="__123Graph_BACOLEUM" localSheetId="12" hidden="1">[6]DADOS!#REF!</definedName>
    <definedName name="__123Graph_BACOLEUM" localSheetId="14" hidden="1">[7]DADOS!#REF!</definedName>
    <definedName name="__123Graph_BACOLEUM" localSheetId="9" hidden="1">#REF!</definedName>
    <definedName name="__123Graph_BACOLEUM" hidden="1">#REF!</definedName>
    <definedName name="__123Graph_BAMONIA" localSheetId="12" hidden="1">[6]DADOS!#REF!</definedName>
    <definedName name="__123Graph_BAMONIA" localSheetId="14" hidden="1">[7]DADOS!#REF!</definedName>
    <definedName name="__123Graph_BAMONIA" localSheetId="9" hidden="1">#REF!</definedName>
    <definedName name="__123Graph_BAMONIA" hidden="1">#REF!</definedName>
    <definedName name="__123Graph_BCHEXANONA" localSheetId="12" hidden="1">[6]DADOS!#REF!</definedName>
    <definedName name="__123Graph_BCHEXANONA" localSheetId="14" hidden="1">[7]DADOS!#REF!</definedName>
    <definedName name="__123Graph_BCHEXANONA" localSheetId="9" hidden="1">#REF!</definedName>
    <definedName name="__123Graph_BCHEXANONA" hidden="1">#REF!</definedName>
    <definedName name="__123Graph_DAMONIA" localSheetId="12" hidden="1">[6]DADOS!#REF!</definedName>
    <definedName name="__123Graph_DAMONIA" localSheetId="14" hidden="1">[7]DADOS!#REF!</definedName>
    <definedName name="__123Graph_DAMONIA" localSheetId="9" hidden="1">#REF!</definedName>
    <definedName name="__123Graph_DAMONIA" hidden="1">#REF!</definedName>
    <definedName name="__aux1" localSheetId="1">#REF!</definedName>
    <definedName name="__aux1" localSheetId="7">#REF!</definedName>
    <definedName name="__aux1" localSheetId="12">[2]Resumo!#REF!</definedName>
    <definedName name="__aux1" localSheetId="0">#REF!</definedName>
    <definedName name="__aux1" localSheetId="14">[2]Resumo!#REF!</definedName>
    <definedName name="__aux1" localSheetId="9">#REF!</definedName>
    <definedName name="__aux1">#REF!</definedName>
    <definedName name="__aux2" localSheetId="1">#REF!</definedName>
    <definedName name="__aux2" localSheetId="7">#REF!</definedName>
    <definedName name="__aux2" localSheetId="12">[2]Resumo!#REF!</definedName>
    <definedName name="__aux2" localSheetId="0">#REF!</definedName>
    <definedName name="__aux2" localSheetId="14">[2]Resumo!#REF!</definedName>
    <definedName name="__aux2" localSheetId="9">#REF!</definedName>
    <definedName name="__aux2">#REF!</definedName>
    <definedName name="__aux5" localSheetId="1">#REF!</definedName>
    <definedName name="__aux5" localSheetId="7">#REF!</definedName>
    <definedName name="__aux5" localSheetId="12">[2]Resumo!#REF!</definedName>
    <definedName name="__aux5" localSheetId="0">#REF!</definedName>
    <definedName name="__aux5" localSheetId="14">[2]Resumo!#REF!</definedName>
    <definedName name="__aux5" localSheetId="9">#REF!</definedName>
    <definedName name="__aux5">#REF!</definedName>
    <definedName name="__aux6" localSheetId="1">#REF!</definedName>
    <definedName name="__aux6" localSheetId="7">#REF!</definedName>
    <definedName name="__aux6" localSheetId="12">[2]Resumo!#REF!</definedName>
    <definedName name="__aux6" localSheetId="0">#REF!</definedName>
    <definedName name="__aux6" localSheetId="14">[2]Resumo!#REF!</definedName>
    <definedName name="__aux6" localSheetId="9">#REF!</definedName>
    <definedName name="__aux6">#REF!</definedName>
    <definedName name="__aux8" localSheetId="7">#REF!</definedName>
    <definedName name="__aux8" localSheetId="12">[2]Resumo!#REF!</definedName>
    <definedName name="__aux8" localSheetId="14">[3]Resumo!#REF!</definedName>
    <definedName name="__aux8" localSheetId="9">#REF!</definedName>
    <definedName name="__aux8">#REF!</definedName>
    <definedName name="__cab1" localSheetId="1">#REF!</definedName>
    <definedName name="__cab1" localSheetId="11">#REF!</definedName>
    <definedName name="__cab1" localSheetId="7">#REF!</definedName>
    <definedName name="__cab1" localSheetId="12">#REF!</definedName>
    <definedName name="__cab1" localSheetId="0">#REF!</definedName>
    <definedName name="__cab1" localSheetId="14">#REF!</definedName>
    <definedName name="__cab1" localSheetId="9">#REF!</definedName>
    <definedName name="__cab1">#REF!</definedName>
    <definedName name="__cab2" localSheetId="1">#REF!</definedName>
    <definedName name="__cab2" localSheetId="7">#REF!</definedName>
    <definedName name="__cab2" localSheetId="12">#REF!</definedName>
    <definedName name="__cab2" localSheetId="0">#REF!</definedName>
    <definedName name="__cab2" localSheetId="14">#REF!</definedName>
    <definedName name="__cab2" localSheetId="9">#REF!</definedName>
    <definedName name="__cab2">#REF!</definedName>
    <definedName name="__cab3" localSheetId="1">#REF!</definedName>
    <definedName name="__cab3" localSheetId="7">#REF!</definedName>
    <definedName name="__cab3" localSheetId="12">[4]PFAB!$1:$12</definedName>
    <definedName name="__cab3" localSheetId="0">#REF!</definedName>
    <definedName name="__cab3" localSheetId="14">[4]PFAB!$1:$12</definedName>
    <definedName name="__cab3" localSheetId="9">#REF!</definedName>
    <definedName name="__cab3">#REF!</definedName>
    <definedName name="__cab4" localSheetId="1">#REF!</definedName>
    <definedName name="__cab4" localSheetId="7">#REF!</definedName>
    <definedName name="__cab4" localSheetId="12">[4]FERR!$1:$12</definedName>
    <definedName name="__cab4" localSheetId="0">#REF!</definedName>
    <definedName name="__cab4" localSheetId="14">[4]FERR!$1:$12</definedName>
    <definedName name="__cab4" localSheetId="9">#REF!</definedName>
    <definedName name="__cab4">#REF!</definedName>
    <definedName name="__cab5" localSheetId="1">#REF!</definedName>
    <definedName name="__cab5" localSheetId="7">#REF!</definedName>
    <definedName name="__cab5" localSheetId="12">[4]ISOL!$1:$12</definedName>
    <definedName name="__cab5" localSheetId="0">#REF!</definedName>
    <definedName name="__cab5" localSheetId="14">[4]ISOL!$1:$12</definedName>
    <definedName name="__cab5" localSheetId="9">#REF!</definedName>
    <definedName name="__cab5">#REF!</definedName>
    <definedName name="__cab6" localSheetId="1">#REF!</definedName>
    <definedName name="__cab6" localSheetId="7">#REF!</definedName>
    <definedName name="__cab6" localSheetId="12">[4]ISOL!$1:$12</definedName>
    <definedName name="__cab6" localSheetId="0">#REF!</definedName>
    <definedName name="__cab6" localSheetId="14">[4]ISOL!$1:$12</definedName>
    <definedName name="__cab6" localSheetId="9">#REF!</definedName>
    <definedName name="__cab6">#REF!</definedName>
    <definedName name="__cab7" localSheetId="1">#REF!</definedName>
    <definedName name="__cab7" localSheetId="11">#REF!</definedName>
    <definedName name="__cab7" localSheetId="7">#REF!</definedName>
    <definedName name="__cab7" localSheetId="12">#REF!</definedName>
    <definedName name="__cab7" localSheetId="0">#REF!</definedName>
    <definedName name="__cab7" localSheetId="14">#REF!</definedName>
    <definedName name="__cab7" localSheetId="9">#REF!</definedName>
    <definedName name="__cab7">#REF!</definedName>
    <definedName name="__DAT1" localSheetId="1">#REF!</definedName>
    <definedName name="__DAT1" localSheetId="7">#REF!</definedName>
    <definedName name="__DAT1" localSheetId="12">#REF!</definedName>
    <definedName name="__DAT1" localSheetId="0">#REF!</definedName>
    <definedName name="__DAT1" localSheetId="14">#REF!</definedName>
    <definedName name="__DAT1" localSheetId="9">#REF!</definedName>
    <definedName name="__DAT1">#REF!</definedName>
    <definedName name="__DAT10" localSheetId="1">#REF!</definedName>
    <definedName name="__DAT10" localSheetId="7">#REF!</definedName>
    <definedName name="__DAT10" localSheetId="12">#REF!</definedName>
    <definedName name="__DAT10" localSheetId="0">#REF!</definedName>
    <definedName name="__DAT10" localSheetId="14">#REF!</definedName>
    <definedName name="__DAT10" localSheetId="9">#REF!</definedName>
    <definedName name="__DAT10">#REF!</definedName>
    <definedName name="__DAT11" localSheetId="1">#REF!</definedName>
    <definedName name="__DAT11" localSheetId="12">#REF!</definedName>
    <definedName name="__DAT11" localSheetId="0">#REF!</definedName>
    <definedName name="__DAT11" localSheetId="14">#REF!</definedName>
    <definedName name="__DAT11" localSheetId="9">#REF!</definedName>
    <definedName name="__DAT11">#REF!</definedName>
    <definedName name="__DAT12" localSheetId="1">#REF!</definedName>
    <definedName name="__DAT12" localSheetId="12">#REF!</definedName>
    <definedName name="__DAT12" localSheetId="0">#REF!</definedName>
    <definedName name="__DAT12" localSheetId="14">#REF!</definedName>
    <definedName name="__DAT12" localSheetId="9">#REF!</definedName>
    <definedName name="__DAT12">#REF!</definedName>
    <definedName name="__DAT13" localSheetId="1">#REF!</definedName>
    <definedName name="__DAT13" localSheetId="12">#REF!</definedName>
    <definedName name="__DAT13" localSheetId="0">#REF!</definedName>
    <definedName name="__DAT13" localSheetId="14">#REF!</definedName>
    <definedName name="__DAT13" localSheetId="9">#REF!</definedName>
    <definedName name="__DAT13">#REF!</definedName>
    <definedName name="__DAT14" localSheetId="1">#REF!</definedName>
    <definedName name="__DAT14" localSheetId="12">#REF!</definedName>
    <definedName name="__DAT14" localSheetId="0">#REF!</definedName>
    <definedName name="__DAT14" localSheetId="14">#REF!</definedName>
    <definedName name="__DAT14" localSheetId="9">#REF!</definedName>
    <definedName name="__DAT14">#REF!</definedName>
    <definedName name="__DAT15" localSheetId="1">#REF!</definedName>
    <definedName name="__DAT15" localSheetId="12">#REF!</definedName>
    <definedName name="__DAT15" localSheetId="0">#REF!</definedName>
    <definedName name="__DAT15" localSheetId="14">#REF!</definedName>
    <definedName name="__DAT15" localSheetId="9">#REF!</definedName>
    <definedName name="__DAT15">#REF!</definedName>
    <definedName name="__DAT2" localSheetId="1">#REF!</definedName>
    <definedName name="__DAT2" localSheetId="12">#REF!</definedName>
    <definedName name="__DAT2" localSheetId="0">#REF!</definedName>
    <definedName name="__DAT2" localSheetId="14">#REF!</definedName>
    <definedName name="__DAT2" localSheetId="9">#REF!</definedName>
    <definedName name="__DAT2">#REF!</definedName>
    <definedName name="__DAT3" localSheetId="1">#REF!</definedName>
    <definedName name="__DAT3" localSheetId="12">#REF!</definedName>
    <definedName name="__DAT3" localSheetId="0">#REF!</definedName>
    <definedName name="__DAT3" localSheetId="14">#REF!</definedName>
    <definedName name="__DAT3" localSheetId="9">#REF!</definedName>
    <definedName name="__DAT3">#REF!</definedName>
    <definedName name="__DAT4" localSheetId="1">#REF!</definedName>
    <definedName name="__DAT4" localSheetId="12">#REF!</definedName>
    <definedName name="__DAT4" localSheetId="0">#REF!</definedName>
    <definedName name="__DAT4" localSheetId="14">#REF!</definedName>
    <definedName name="__DAT4" localSheetId="9">#REF!</definedName>
    <definedName name="__DAT4">#REF!</definedName>
    <definedName name="__DAT5" localSheetId="1">#REF!</definedName>
    <definedName name="__DAT5" localSheetId="12">#REF!</definedName>
    <definedName name="__DAT5" localSheetId="0">#REF!</definedName>
    <definedName name="__DAT5" localSheetId="14">#REF!</definedName>
    <definedName name="__DAT5" localSheetId="9">#REF!</definedName>
    <definedName name="__DAT5">#REF!</definedName>
    <definedName name="__DAT6" localSheetId="1">#REF!</definedName>
    <definedName name="__DAT6" localSheetId="12">#REF!</definedName>
    <definedName name="__DAT6" localSheetId="0">#REF!</definedName>
    <definedName name="__DAT6" localSheetId="14">#REF!</definedName>
    <definedName name="__DAT6" localSheetId="9">#REF!</definedName>
    <definedName name="__DAT6">#REF!</definedName>
    <definedName name="__DAT7" localSheetId="1">#REF!</definedName>
    <definedName name="__DAT7" localSheetId="12">#REF!</definedName>
    <definedName name="__DAT7" localSheetId="0">#REF!</definedName>
    <definedName name="__DAT7" localSheetId="14">#REF!</definedName>
    <definedName name="__DAT7" localSheetId="9">#REF!</definedName>
    <definedName name="__DAT7">#REF!</definedName>
    <definedName name="__DAT8" localSheetId="1">#REF!</definedName>
    <definedName name="__DAT8" localSheetId="12">#REF!</definedName>
    <definedName name="__DAT8" localSheetId="0">#REF!</definedName>
    <definedName name="__DAT8" localSheetId="14">#REF!</definedName>
    <definedName name="__DAT8" localSheetId="9">#REF!</definedName>
    <definedName name="__DAT8">#REF!</definedName>
    <definedName name="__DAT9" localSheetId="1">#REF!</definedName>
    <definedName name="__DAT9" localSheetId="12">#REF!</definedName>
    <definedName name="__DAT9" localSheetId="0">#REF!</definedName>
    <definedName name="__DAT9" localSheetId="14">#REF!</definedName>
    <definedName name="__DAT9" localSheetId="9">#REF!</definedName>
    <definedName name="__DAT9">#REF!</definedName>
    <definedName name="__dd1" localSheetId="11" hidden="1">{#N/A,#N/A,FALSE,"ET-CAPA";#N/A,#N/A,FALSE,"ET-PAG1";#N/A,#N/A,FALSE,"ET-PAG2";#N/A,#N/A,FALSE,"ET-PAG3";#N/A,#N/A,FALSE,"ET-PAG4";#N/A,#N/A,FALSE,"ET-PAG5"}</definedName>
    <definedName name="__dd1" localSheetId="12" hidden="1">{#N/A,#N/A,FALSE,"ET-CAPA";#N/A,#N/A,FALSE,"ET-PAG1";#N/A,#N/A,FALSE,"ET-PAG2";#N/A,#N/A,FALSE,"ET-PAG3";#N/A,#N/A,FALSE,"ET-PAG4";#N/A,#N/A,FALSE,"ET-PAG5"}</definedName>
    <definedName name="__dd1" localSheetId="14" hidden="1">{#N/A,#N/A,FALSE,"ET-CAPA";#N/A,#N/A,FALSE,"ET-PAG1";#N/A,#N/A,FALSE,"ET-PAG2";#N/A,#N/A,FALSE,"ET-PAG3";#N/A,#N/A,FALSE,"ET-PAG4";#N/A,#N/A,FALSE,"ET-PAG5"}</definedName>
    <definedName name="__dd1" localSheetId="9" hidden="1">{#N/A,#N/A,FALSE,"ET-CAPA";#N/A,#N/A,FALSE,"ET-PAG1";#N/A,#N/A,FALSE,"ET-PAG2";#N/A,#N/A,FALSE,"ET-PAG3";#N/A,#N/A,FALSE,"ET-PAG4";#N/A,#N/A,FALSE,"ET-PAG5"}</definedName>
    <definedName name="__dd1" hidden="1">{#N/A,#N/A,FALSE,"ET-CAPA";#N/A,#N/A,FALSE,"ET-PAG1";#N/A,#N/A,FALSE,"ET-PAG2";#N/A,#N/A,FALSE,"ET-PAG3";#N/A,#N/A,FALSE,"ET-PAG4";#N/A,#N/A,FALSE,"ET-PAG5"}</definedName>
    <definedName name="__ep1" localSheetId="11" hidden="1">{#N/A,#N/A,FALSE,"CONTROLE"}</definedName>
    <definedName name="__ep1" localSheetId="12" hidden="1">{#N/A,#N/A,FALSE,"CONTROLE"}</definedName>
    <definedName name="__ep1" localSheetId="14" hidden="1">{#N/A,#N/A,FALSE,"CONTROLE"}</definedName>
    <definedName name="__ep1" localSheetId="9" hidden="1">{#N/A,#N/A,FALSE,"CONTROLE"}</definedName>
    <definedName name="__ep1" hidden="1">{#N/A,#N/A,FALSE,"CONTROLE"}</definedName>
    <definedName name="__FT08" hidden="1">"3OYHDJRF05V1IN1D1R6C32J5E"</definedName>
    <definedName name="__iso1" localSheetId="1">#REF!</definedName>
    <definedName name="__iso1" localSheetId="11">#REF!</definedName>
    <definedName name="__iso1" localSheetId="7">#REF!</definedName>
    <definedName name="__iso1" localSheetId="12">[2]Resumo!#REF!</definedName>
    <definedName name="__iso1" localSheetId="0">#REF!</definedName>
    <definedName name="__iso1" localSheetId="14">[2]Resumo!#REF!</definedName>
    <definedName name="__iso1" localSheetId="9">#REF!</definedName>
    <definedName name="__iso1">#REF!</definedName>
    <definedName name="__iso11" localSheetId="1">#REF!</definedName>
    <definedName name="__iso11" localSheetId="11">#REF!</definedName>
    <definedName name="__iso11" localSheetId="7">#REF!</definedName>
    <definedName name="__iso11" localSheetId="12">[2]Resumo!#REF!</definedName>
    <definedName name="__iso11" localSheetId="0">#REF!</definedName>
    <definedName name="__iso11" localSheetId="14">[2]Resumo!#REF!</definedName>
    <definedName name="__iso11" localSheetId="9">#REF!</definedName>
    <definedName name="__iso11">#REF!</definedName>
    <definedName name="__iso2" localSheetId="1">#REF!</definedName>
    <definedName name="__iso2" localSheetId="7">#REF!</definedName>
    <definedName name="__iso2" localSheetId="12">[2]Resumo!#REF!</definedName>
    <definedName name="__iso2" localSheetId="0">#REF!</definedName>
    <definedName name="__iso2" localSheetId="14">[2]Resumo!#REF!</definedName>
    <definedName name="__iso2" localSheetId="9">#REF!</definedName>
    <definedName name="__iso2">#REF!</definedName>
    <definedName name="__iso5" localSheetId="1">#REF!</definedName>
    <definedName name="__iso5" localSheetId="7">#REF!</definedName>
    <definedName name="__iso5" localSheetId="12">[2]Resumo!#REF!</definedName>
    <definedName name="__iso5" localSheetId="0">#REF!</definedName>
    <definedName name="__iso5" localSheetId="14">[2]Resumo!#REF!</definedName>
    <definedName name="__iso5" localSheetId="9">#REF!</definedName>
    <definedName name="__iso5">#REF!</definedName>
    <definedName name="__iso6" localSheetId="1">#REF!</definedName>
    <definedName name="__iso6" localSheetId="7">#REF!</definedName>
    <definedName name="__iso6" localSheetId="12">[2]Resumo!#REF!</definedName>
    <definedName name="__iso6" localSheetId="0">#REF!</definedName>
    <definedName name="__iso6" localSheetId="14">[2]Resumo!#REF!</definedName>
    <definedName name="__iso6" localSheetId="9">#REF!</definedName>
    <definedName name="__iso6">#REF!</definedName>
    <definedName name="__iso8" localSheetId="1">#REF!</definedName>
    <definedName name="__iso8" localSheetId="7">#REF!</definedName>
    <definedName name="__iso8" localSheetId="12">[2]Resumo!#REF!</definedName>
    <definedName name="__iso8" localSheetId="0">#REF!</definedName>
    <definedName name="__iso8" localSheetId="14">[2]Resumo!#REF!</definedName>
    <definedName name="__iso8" localSheetId="9">#REF!</definedName>
    <definedName name="__iso8">#REF!</definedName>
    <definedName name="__mo2" localSheetId="1">#REF!</definedName>
    <definedName name="__mo2" localSheetId="7">#REF!</definedName>
    <definedName name="__mo2" localSheetId="12">[2]Resumo!$X$442</definedName>
    <definedName name="__mo2" localSheetId="0">#REF!</definedName>
    <definedName name="__mo2" localSheetId="14">[2]Resumo!$X$442</definedName>
    <definedName name="__mo2" localSheetId="9">#REF!</definedName>
    <definedName name="__mo2">#REF!</definedName>
    <definedName name="__mo3" localSheetId="1">#REF!</definedName>
    <definedName name="__mo3" localSheetId="7">#REF!</definedName>
    <definedName name="__mo3" localSheetId="12">[2]Resumo!$X$394</definedName>
    <definedName name="__mo3" localSheetId="0">#REF!</definedName>
    <definedName name="__mo3" localSheetId="14">[2]Resumo!$X$394</definedName>
    <definedName name="__mo3" localSheetId="9">#REF!</definedName>
    <definedName name="__mo3">#REF!</definedName>
    <definedName name="__mo5" localSheetId="1">#REF!</definedName>
    <definedName name="__mo5" localSheetId="7">#REF!</definedName>
    <definedName name="__mo5" localSheetId="12">[2]Resumo!$X$13</definedName>
    <definedName name="__mo5" localSheetId="0">#REF!</definedName>
    <definedName name="__mo5" localSheetId="14">[2]Resumo!$X$13</definedName>
    <definedName name="__mo5" localSheetId="9">#REF!</definedName>
    <definedName name="__mo5">#REF!</definedName>
    <definedName name="__mo6" localSheetId="1">#REF!</definedName>
    <definedName name="__mo6" localSheetId="7">#REF!</definedName>
    <definedName name="__mo6" localSheetId="12">[2]Resumo!$X$26</definedName>
    <definedName name="__mo6" localSheetId="0">#REF!</definedName>
    <definedName name="__mo6" localSheetId="14">[2]Resumo!$X$26</definedName>
    <definedName name="__mo6" localSheetId="9">#REF!</definedName>
    <definedName name="__mo6">#REF!</definedName>
    <definedName name="__mo7" localSheetId="1">#REF!</definedName>
    <definedName name="__mo7" localSheetId="7">#REF!</definedName>
    <definedName name="__mo7" localSheetId="12">[2]Resumo!$X$118</definedName>
    <definedName name="__mo7" localSheetId="0">#REF!</definedName>
    <definedName name="__mo7" localSheetId="14">[2]Resumo!$X$118</definedName>
    <definedName name="__mo7" localSheetId="9">#REF!</definedName>
    <definedName name="__mo7">#REF!</definedName>
    <definedName name="__mo9" localSheetId="1">#REF!</definedName>
    <definedName name="__mo9" localSheetId="7">#REF!</definedName>
    <definedName name="__mo9" localSheetId="12">[2]Resumo!$X$450</definedName>
    <definedName name="__mo9" localSheetId="0">#REF!</definedName>
    <definedName name="__mo9" localSheetId="14">[2]Resumo!$X$450</definedName>
    <definedName name="__mo9" localSheetId="9">#REF!</definedName>
    <definedName name="__mo9">#REF!</definedName>
    <definedName name="__rev1" localSheetId="1">#REF!</definedName>
    <definedName name="__rev1" localSheetId="11">#REF!</definedName>
    <definedName name="__rev1" localSheetId="7">#REF!</definedName>
    <definedName name="__rev1" localSheetId="12">[2]Resumo!#REF!</definedName>
    <definedName name="__rev1" localSheetId="0">#REF!</definedName>
    <definedName name="__rev1" localSheetId="14">[2]Resumo!#REF!</definedName>
    <definedName name="__rev1" localSheetId="9">#REF!</definedName>
    <definedName name="__rev1">#REF!</definedName>
    <definedName name="__rev11" localSheetId="1">#REF!</definedName>
    <definedName name="__rev11" localSheetId="11">#REF!</definedName>
    <definedName name="__rev11" localSheetId="7">#REF!</definedName>
    <definedName name="__rev11" localSheetId="12">[2]Resumo!#REF!</definedName>
    <definedName name="__rev11" localSheetId="0">#REF!</definedName>
    <definedName name="__rev11" localSheetId="14">[2]Resumo!#REF!</definedName>
    <definedName name="__rev11" localSheetId="9">#REF!</definedName>
    <definedName name="__rev11">#REF!</definedName>
    <definedName name="__rev2" localSheetId="1">#REF!</definedName>
    <definedName name="__rev2" localSheetId="11">#REF!</definedName>
    <definedName name="__rev2" localSheetId="7">#REF!</definedName>
    <definedName name="__rev2" localSheetId="12">[2]Resumo!#REF!</definedName>
    <definedName name="__rev2" localSheetId="0">#REF!</definedName>
    <definedName name="__rev2" localSheetId="14">[2]Resumo!#REF!</definedName>
    <definedName name="__rev2" localSheetId="9">#REF!</definedName>
    <definedName name="__rev2">#REF!</definedName>
    <definedName name="__rev5" localSheetId="1">#REF!</definedName>
    <definedName name="__rev5" localSheetId="11">#REF!</definedName>
    <definedName name="__rev5" localSheetId="7">#REF!</definedName>
    <definedName name="__rev5" localSheetId="12">[2]Resumo!#REF!</definedName>
    <definedName name="__rev5" localSheetId="0">#REF!</definedName>
    <definedName name="__rev5" localSheetId="14">[2]Resumo!#REF!</definedName>
    <definedName name="__rev5" localSheetId="9">#REF!</definedName>
    <definedName name="__rev5">#REF!</definedName>
    <definedName name="__rev6" localSheetId="1">#REF!</definedName>
    <definedName name="__rev6" localSheetId="7">#REF!</definedName>
    <definedName name="__rev6" localSheetId="12">[2]Resumo!#REF!</definedName>
    <definedName name="__rev6" localSheetId="0">#REF!</definedName>
    <definedName name="__rev6" localSheetId="14">[2]Resumo!#REF!</definedName>
    <definedName name="__rev6" localSheetId="9">#REF!</definedName>
    <definedName name="__rev6">#REF!</definedName>
    <definedName name="__rev8" localSheetId="1">#REF!</definedName>
    <definedName name="__rev8" localSheetId="7">#REF!</definedName>
    <definedName name="__rev8" localSheetId="12">[2]Resumo!#REF!</definedName>
    <definedName name="__rev8" localSheetId="0">#REF!</definedName>
    <definedName name="__rev8" localSheetId="14">[2]Resumo!#REF!</definedName>
    <definedName name="__rev8" localSheetId="9">#REF!</definedName>
    <definedName name="__rev8">#REF!</definedName>
    <definedName name="__TAB1" localSheetId="1">#REF!</definedName>
    <definedName name="__TAB1" localSheetId="11">#REF!</definedName>
    <definedName name="__TAB1" localSheetId="7">#REF!</definedName>
    <definedName name="__TAB1" localSheetId="12">#REF!</definedName>
    <definedName name="__TAB1" localSheetId="0">#REF!</definedName>
    <definedName name="__TAB1" localSheetId="14">#REF!</definedName>
    <definedName name="__TAB1" localSheetId="9">#REF!</definedName>
    <definedName name="__TAB1">#REF!</definedName>
    <definedName name="__TAB2" localSheetId="1">#REF!</definedName>
    <definedName name="__TAB2" localSheetId="7">#REF!</definedName>
    <definedName name="__TAB2" localSheetId="12">#REF!</definedName>
    <definedName name="__TAB2" localSheetId="0">#REF!</definedName>
    <definedName name="__TAB2" localSheetId="14">#REF!</definedName>
    <definedName name="__TAB2" localSheetId="9">#REF!</definedName>
    <definedName name="__TAB2">#REF!</definedName>
    <definedName name="__TAB3" localSheetId="1">#REF!</definedName>
    <definedName name="__TAB3" localSheetId="7">#REF!</definedName>
    <definedName name="__TAB3" localSheetId="12">#REF!</definedName>
    <definedName name="__TAB3" localSheetId="0">#REF!</definedName>
    <definedName name="__TAB3" localSheetId="14">#REF!</definedName>
    <definedName name="__TAB3" localSheetId="9">#REF!</definedName>
    <definedName name="__TAB3">#REF!</definedName>
    <definedName name="_aux1" localSheetId="1">#REF!</definedName>
    <definedName name="_aux1" localSheetId="11">#REF!</definedName>
    <definedName name="_aux1" localSheetId="7">#REF!</definedName>
    <definedName name="_aux1" localSheetId="12">[2]Resumo!#REF!</definedName>
    <definedName name="_aux1" localSheetId="0">#REF!</definedName>
    <definedName name="_aux1" localSheetId="14">[2]Resumo!#REF!</definedName>
    <definedName name="_aux1" localSheetId="9">#REF!</definedName>
    <definedName name="_aux1">#REF!</definedName>
    <definedName name="_aux2" localSheetId="1">#REF!</definedName>
    <definedName name="_aux2" localSheetId="11">#REF!</definedName>
    <definedName name="_aux2" localSheetId="7">#REF!</definedName>
    <definedName name="_aux2" localSheetId="12">[2]Resumo!#REF!</definedName>
    <definedName name="_aux2" localSheetId="0">#REF!</definedName>
    <definedName name="_aux2" localSheetId="14">[2]Resumo!#REF!</definedName>
    <definedName name="_aux2" localSheetId="9">#REF!</definedName>
    <definedName name="_aux2">#REF!</definedName>
    <definedName name="_aux5" localSheetId="1">#REF!</definedName>
    <definedName name="_aux5" localSheetId="11">#REF!</definedName>
    <definedName name="_aux5" localSheetId="7">#REF!</definedName>
    <definedName name="_aux5" localSheetId="12">[2]Resumo!#REF!</definedName>
    <definedName name="_aux5" localSheetId="0">#REF!</definedName>
    <definedName name="_aux5" localSheetId="14">[2]Resumo!#REF!</definedName>
    <definedName name="_aux5" localSheetId="9">#REF!</definedName>
    <definedName name="_aux5">#REF!</definedName>
    <definedName name="_aux6" localSheetId="1">#REF!</definedName>
    <definedName name="_aux6" localSheetId="11">#REF!</definedName>
    <definedName name="_aux6" localSheetId="7">#REF!</definedName>
    <definedName name="_aux6" localSheetId="12">[2]Resumo!#REF!</definedName>
    <definedName name="_aux6" localSheetId="0">#REF!</definedName>
    <definedName name="_aux6" localSheetId="14">[2]Resumo!#REF!</definedName>
    <definedName name="_aux6" localSheetId="9">#REF!</definedName>
    <definedName name="_aux6">#REF!</definedName>
    <definedName name="_aux8" localSheetId="1">#REF!</definedName>
    <definedName name="_aux8" localSheetId="7">#REF!</definedName>
    <definedName name="_aux8" localSheetId="12">[2]Resumo!#REF!</definedName>
    <definedName name="_aux8" localSheetId="0">#REF!</definedName>
    <definedName name="_aux8" localSheetId="14">[2]Resumo!#REF!</definedName>
    <definedName name="_aux8" localSheetId="9">#REF!</definedName>
    <definedName name="_aux8">#REF!</definedName>
    <definedName name="_cab1" localSheetId="1">#REF!</definedName>
    <definedName name="_cab1" localSheetId="11">#REF!</definedName>
    <definedName name="_cab1" localSheetId="7">#REF!</definedName>
    <definedName name="_cab1" localSheetId="12">#REF!</definedName>
    <definedName name="_cab1" localSheetId="0">#REF!</definedName>
    <definedName name="_cab1" localSheetId="14">#REF!</definedName>
    <definedName name="_cab1" localSheetId="9">#REF!</definedName>
    <definedName name="_cab1">#REF!</definedName>
    <definedName name="_cab2" localSheetId="1">#REF!</definedName>
    <definedName name="_cab2" localSheetId="7">#REF!</definedName>
    <definedName name="_cab2" localSheetId="12">#REF!</definedName>
    <definedName name="_cab2" localSheetId="0">#REF!</definedName>
    <definedName name="_cab2" localSheetId="14">#REF!</definedName>
    <definedName name="_cab2" localSheetId="9">#REF!</definedName>
    <definedName name="_cab2">#REF!</definedName>
    <definedName name="_cab3" localSheetId="1">#REF!</definedName>
    <definedName name="_cab3" localSheetId="7">#REF!</definedName>
    <definedName name="_cab3" localSheetId="12">[4]PFAB!$1:$12</definedName>
    <definedName name="_cab3" localSheetId="0">#REF!</definedName>
    <definedName name="_cab3" localSheetId="14">[4]PFAB!$1:$12</definedName>
    <definedName name="_cab3" localSheetId="9">#REF!</definedName>
    <definedName name="_cab3">#REF!</definedName>
    <definedName name="_cab4" localSheetId="1">#REF!</definedName>
    <definedName name="_cab4" localSheetId="7">#REF!</definedName>
    <definedName name="_cab4" localSheetId="12">[4]FERR!$1:$12</definedName>
    <definedName name="_cab4" localSheetId="0">#REF!</definedName>
    <definedName name="_cab4" localSheetId="14">[4]FERR!$1:$12</definedName>
    <definedName name="_cab4" localSheetId="9">#REF!</definedName>
    <definedName name="_cab4">#REF!</definedName>
    <definedName name="_cab5" localSheetId="1">#REF!</definedName>
    <definedName name="_cab5" localSheetId="7">#REF!</definedName>
    <definedName name="_cab5" localSheetId="12">[4]ISOL!$1:$12</definedName>
    <definedName name="_cab5" localSheetId="0">#REF!</definedName>
    <definedName name="_cab5" localSheetId="14">[4]ISOL!$1:$12</definedName>
    <definedName name="_cab5" localSheetId="9">#REF!</definedName>
    <definedName name="_cab5">#REF!</definedName>
    <definedName name="_cab6" localSheetId="1">#REF!</definedName>
    <definedName name="_cab6" localSheetId="7">#REF!</definedName>
    <definedName name="_cab6" localSheetId="12">[4]ISOL!$1:$12</definedName>
    <definedName name="_cab6" localSheetId="0">#REF!</definedName>
    <definedName name="_cab6" localSheetId="14">[4]ISOL!$1:$12</definedName>
    <definedName name="_cab6" localSheetId="9">#REF!</definedName>
    <definedName name="_cab6">#REF!</definedName>
    <definedName name="_cab7" localSheetId="1">#REF!</definedName>
    <definedName name="_cab7" localSheetId="11">#REF!</definedName>
    <definedName name="_cab7" localSheetId="7">#REF!</definedName>
    <definedName name="_cab7" localSheetId="12">#REF!</definedName>
    <definedName name="_cab7" localSheetId="0">#REF!</definedName>
    <definedName name="_cab7" localSheetId="14">#REF!</definedName>
    <definedName name="_cab7" localSheetId="9">#REF!</definedName>
    <definedName name="_cab7">#REF!</definedName>
    <definedName name="_D258" localSheetId="11" hidden="1">{"Presentation",#N/A,FALSE,"Feb96 - ALL"}</definedName>
    <definedName name="_D258" localSheetId="12" hidden="1">{"Presentation",#N/A,FALSE,"Feb96 - ALL"}</definedName>
    <definedName name="_D258" localSheetId="14" hidden="1">{"Presentation",#N/A,FALSE,"Feb96 - ALL"}</definedName>
    <definedName name="_D258" localSheetId="9" hidden="1">{"Presentation",#N/A,FALSE,"Feb96 - ALL"}</definedName>
    <definedName name="_D258" hidden="1">{"Presentation",#N/A,FALSE,"Feb96 - ALL"}</definedName>
    <definedName name="_DAT1" localSheetId="1">#REF!</definedName>
    <definedName name="_DAT1" localSheetId="11">#REF!</definedName>
    <definedName name="_DAT1" localSheetId="7">#REF!</definedName>
    <definedName name="_DAT1" localSheetId="12">#REF!</definedName>
    <definedName name="_DAT1" localSheetId="0">#REF!</definedName>
    <definedName name="_DAT1" localSheetId="14">#REF!</definedName>
    <definedName name="_DAT1" localSheetId="9">#REF!</definedName>
    <definedName name="_DAT1">#REF!</definedName>
    <definedName name="_DAT10" localSheetId="1">#REF!</definedName>
    <definedName name="_DAT10" localSheetId="7">#REF!</definedName>
    <definedName name="_DAT10" localSheetId="12">#REF!</definedName>
    <definedName name="_DAT10" localSheetId="0">#REF!</definedName>
    <definedName name="_DAT10" localSheetId="14">#REF!</definedName>
    <definedName name="_DAT10" localSheetId="9">#REF!</definedName>
    <definedName name="_DAT10">#REF!</definedName>
    <definedName name="_DAT11" localSheetId="1">#REF!</definedName>
    <definedName name="_DAT11" localSheetId="12">#REF!</definedName>
    <definedName name="_DAT11" localSheetId="0">#REF!</definedName>
    <definedName name="_DAT11" localSheetId="14">#REF!</definedName>
    <definedName name="_DAT11" localSheetId="9">#REF!</definedName>
    <definedName name="_DAT11">#REF!</definedName>
    <definedName name="_DAT12" localSheetId="1">#REF!</definedName>
    <definedName name="_DAT12" localSheetId="12">#REF!</definedName>
    <definedName name="_DAT12" localSheetId="0">#REF!</definedName>
    <definedName name="_DAT12" localSheetId="14">#REF!</definedName>
    <definedName name="_DAT12" localSheetId="9">#REF!</definedName>
    <definedName name="_DAT12">#REF!</definedName>
    <definedName name="_DAT13" localSheetId="1">#REF!</definedName>
    <definedName name="_DAT13" localSheetId="12">#REF!</definedName>
    <definedName name="_DAT13" localSheetId="0">#REF!</definedName>
    <definedName name="_DAT13" localSheetId="14">#REF!</definedName>
    <definedName name="_DAT13" localSheetId="9">#REF!</definedName>
    <definedName name="_DAT13">#REF!</definedName>
    <definedName name="_DAT14" localSheetId="1">#REF!</definedName>
    <definedName name="_DAT14" localSheetId="12">#REF!</definedName>
    <definedName name="_DAT14" localSheetId="0">#REF!</definedName>
    <definedName name="_DAT14" localSheetId="14">#REF!</definedName>
    <definedName name="_DAT14" localSheetId="9">#REF!</definedName>
    <definedName name="_DAT14">#REF!</definedName>
    <definedName name="_DAT15" localSheetId="1">#REF!</definedName>
    <definedName name="_DAT15" localSheetId="12">#REF!</definedName>
    <definedName name="_DAT15" localSheetId="0">#REF!</definedName>
    <definedName name="_DAT15" localSheetId="14">#REF!</definedName>
    <definedName name="_DAT15" localSheetId="9">#REF!</definedName>
    <definedName name="_DAT15">#REF!</definedName>
    <definedName name="_DAT2" localSheetId="1">#REF!</definedName>
    <definedName name="_DAT2" localSheetId="12">#REF!</definedName>
    <definedName name="_DAT2" localSheetId="0">#REF!</definedName>
    <definedName name="_DAT2" localSheetId="14">#REF!</definedName>
    <definedName name="_DAT2" localSheetId="9">#REF!</definedName>
    <definedName name="_DAT2">#REF!</definedName>
    <definedName name="_DAT3" localSheetId="1">#REF!</definedName>
    <definedName name="_DAT3" localSheetId="12">#REF!</definedName>
    <definedName name="_DAT3" localSheetId="0">#REF!</definedName>
    <definedName name="_DAT3" localSheetId="14">#REF!</definedName>
    <definedName name="_DAT3" localSheetId="9">#REF!</definedName>
    <definedName name="_DAT3">#REF!</definedName>
    <definedName name="_DAT4" localSheetId="1">#REF!</definedName>
    <definedName name="_DAT4" localSheetId="12">#REF!</definedName>
    <definedName name="_DAT4" localSheetId="0">#REF!</definedName>
    <definedName name="_DAT4" localSheetId="14">#REF!</definedName>
    <definedName name="_DAT4" localSheetId="9">#REF!</definedName>
    <definedName name="_DAT4">#REF!</definedName>
    <definedName name="_DAT5" localSheetId="1">#REF!</definedName>
    <definedName name="_DAT5" localSheetId="12">#REF!</definedName>
    <definedName name="_DAT5" localSheetId="0">#REF!</definedName>
    <definedName name="_DAT5" localSheetId="14">#REF!</definedName>
    <definedName name="_DAT5" localSheetId="9">#REF!</definedName>
    <definedName name="_DAT5">#REF!</definedName>
    <definedName name="_DAT6" localSheetId="1">#REF!</definedName>
    <definedName name="_DAT6" localSheetId="12">#REF!</definedName>
    <definedName name="_DAT6" localSheetId="0">#REF!</definedName>
    <definedName name="_DAT6" localSheetId="14">#REF!</definedName>
    <definedName name="_DAT6" localSheetId="9">#REF!</definedName>
    <definedName name="_DAT6">#REF!</definedName>
    <definedName name="_DAT7" localSheetId="1">#REF!</definedName>
    <definedName name="_DAT7" localSheetId="12">#REF!</definedName>
    <definedName name="_DAT7" localSheetId="0">#REF!</definedName>
    <definedName name="_DAT7" localSheetId="14">#REF!</definedName>
    <definedName name="_DAT7" localSheetId="9">#REF!</definedName>
    <definedName name="_DAT7">#REF!</definedName>
    <definedName name="_DAT8" localSheetId="1">#REF!</definedName>
    <definedName name="_DAT8" localSheetId="12">#REF!</definedName>
    <definedName name="_DAT8" localSheetId="0">#REF!</definedName>
    <definedName name="_DAT8" localSheetId="14">#REF!</definedName>
    <definedName name="_DAT8" localSheetId="9">#REF!</definedName>
    <definedName name="_DAT8">#REF!</definedName>
    <definedName name="_DAT9" localSheetId="1">#REF!</definedName>
    <definedName name="_DAT9" localSheetId="12">#REF!</definedName>
    <definedName name="_DAT9" localSheetId="0">#REF!</definedName>
    <definedName name="_DAT9" localSheetId="14">#REF!</definedName>
    <definedName name="_DAT9" localSheetId="9">#REF!</definedName>
    <definedName name="_DAT9">#REF!</definedName>
    <definedName name="_dc1" localSheetId="11" hidden="1">{#N/A,#N/A,FALSE,"Chart";#N/A,#N/A,FALSE,"Overview";#N/A,#N/A,FALSE,"Overview_Acty";#N/A,#N/A,FALSE,"Inc97D";#N/A,#N/A,FALSE,"Rel_Inc97TD";#N/A,#N/A,FALSE,"Rel_Inc_97_NTD";#N/A,#N/A,FALSE,"Marketing";#N/A,#N/A,FALSE,"Pot_97"}</definedName>
    <definedName name="_dc1" localSheetId="12" hidden="1">{#N/A,#N/A,FALSE,"Chart";#N/A,#N/A,FALSE,"Overview";#N/A,#N/A,FALSE,"Overview_Acty";#N/A,#N/A,FALSE,"Inc97D";#N/A,#N/A,FALSE,"Rel_Inc97TD";#N/A,#N/A,FALSE,"Rel_Inc_97_NTD";#N/A,#N/A,FALSE,"Marketing";#N/A,#N/A,FALSE,"Pot_97"}</definedName>
    <definedName name="_dc1" localSheetId="14" hidden="1">{#N/A,#N/A,FALSE,"Chart";#N/A,#N/A,FALSE,"Overview";#N/A,#N/A,FALSE,"Overview_Acty";#N/A,#N/A,FALSE,"Inc97D";#N/A,#N/A,FALSE,"Rel_Inc97TD";#N/A,#N/A,FALSE,"Rel_Inc_97_NTD";#N/A,#N/A,FALSE,"Marketing";#N/A,#N/A,FALSE,"Pot_97"}</definedName>
    <definedName name="_dc1" localSheetId="9" hidden="1">{#N/A,#N/A,FALSE,"Chart";#N/A,#N/A,FALSE,"Overview";#N/A,#N/A,FALSE,"Overview_Acty";#N/A,#N/A,FALSE,"Inc97D";#N/A,#N/A,FALSE,"Rel_Inc97TD";#N/A,#N/A,FALSE,"Rel_Inc_97_NTD";#N/A,#N/A,FALSE,"Marketing";#N/A,#N/A,FALSE,"Pot_97"}</definedName>
    <definedName name="_dc1" hidden="1">{#N/A,#N/A,FALSE,"Chart";#N/A,#N/A,FALSE,"Overview";#N/A,#N/A,FALSE,"Overview_Acty";#N/A,#N/A,FALSE,"Inc97D";#N/A,#N/A,FALSE,"Rel_Inc97TD";#N/A,#N/A,FALSE,"Rel_Inc_97_NTD";#N/A,#N/A,FALSE,"Marketing";#N/A,#N/A,FALSE,"Pot_97"}</definedName>
    <definedName name="_dd1" localSheetId="11" hidden="1">{#N/A,#N/A,FALSE,"ET-CAPA";#N/A,#N/A,FALSE,"ET-PAG1";#N/A,#N/A,FALSE,"ET-PAG2";#N/A,#N/A,FALSE,"ET-PAG3";#N/A,#N/A,FALSE,"ET-PAG4";#N/A,#N/A,FALSE,"ET-PAG5"}</definedName>
    <definedName name="_dd1" localSheetId="12" hidden="1">{#N/A,#N/A,FALSE,"ET-CAPA";#N/A,#N/A,FALSE,"ET-PAG1";#N/A,#N/A,FALSE,"ET-PAG2";#N/A,#N/A,FALSE,"ET-PAG3";#N/A,#N/A,FALSE,"ET-PAG4";#N/A,#N/A,FALSE,"ET-PAG5"}</definedName>
    <definedName name="_dd1" localSheetId="14" hidden="1">{#N/A,#N/A,FALSE,"ET-CAPA";#N/A,#N/A,FALSE,"ET-PAG1";#N/A,#N/A,FALSE,"ET-PAG2";#N/A,#N/A,FALSE,"ET-PAG3";#N/A,#N/A,FALSE,"ET-PAG4";#N/A,#N/A,FALSE,"ET-PAG5"}</definedName>
    <definedName name="_dd1" localSheetId="9" hidden="1">{#N/A,#N/A,FALSE,"ET-CAPA";#N/A,#N/A,FALSE,"ET-PAG1";#N/A,#N/A,FALSE,"ET-PAG2";#N/A,#N/A,FALSE,"ET-PAG3";#N/A,#N/A,FALSE,"ET-PAG4";#N/A,#N/A,FALSE,"ET-PAG5"}</definedName>
    <definedName name="_dd1" hidden="1">{#N/A,#N/A,FALSE,"ET-CAPA";#N/A,#N/A,FALSE,"ET-PAG1";#N/A,#N/A,FALSE,"ET-PAG2";#N/A,#N/A,FALSE,"ET-PAG3";#N/A,#N/A,FALSE,"ET-PAG4";#N/A,#N/A,FALSE,"ET-PAG5"}</definedName>
    <definedName name="_Fill" localSheetId="1" hidden="1">#REF!</definedName>
    <definedName name="_Fill" localSheetId="11" hidden="1">#REF!</definedName>
    <definedName name="_Fill" localSheetId="7" hidden="1">#REF!</definedName>
    <definedName name="_Fill" localSheetId="12" hidden="1">#REF!</definedName>
    <definedName name="_Fill" localSheetId="0" hidden="1">#REF!</definedName>
    <definedName name="_Fill" localSheetId="14" hidden="1">#REF!</definedName>
    <definedName name="_Fill" localSheetId="9" hidden="1">#REF!</definedName>
    <definedName name="_Fill" hidden="1">#REF!</definedName>
    <definedName name="_xlnm._FilterDatabase" localSheetId="11" hidden="1">'base dados'!$A$1:$P$49</definedName>
    <definedName name="_xlnm._FilterDatabase" localSheetId="7" hidden="1">CURVA!$A$6:$EY$36</definedName>
    <definedName name="_xlnm._FilterDatabase" localSheetId="6" hidden="1">'EQUIPAMENTOS '!$A$3:$N$15</definedName>
    <definedName name="_xlnm._FilterDatabase" localSheetId="12" hidden="1">HISTOGRAMA!$A$11:$D$32</definedName>
    <definedName name="_xlnm._FilterDatabase" localSheetId="18" hidden="1">'LINHAS - LEVANTAMENTO'!$A$7:$Y$74</definedName>
    <definedName name="_xlnm._FilterDatabase" localSheetId="4" hidden="1">'LINHAS anterior'!$A$6:$X$48</definedName>
    <definedName name="_xlnm._FilterDatabase" localSheetId="14" hidden="1">'TOTAL SERVIÇO + MATERIAL'!#REF!</definedName>
    <definedName name="_xlnm._FilterDatabase" localSheetId="9" hidden="1">'TUB. PU'!$A$8:$WWQ$113</definedName>
    <definedName name="_FT08" hidden="1">"3OYHDJRF05V1IN1D1R6C32J5E"</definedName>
    <definedName name="_iso1" localSheetId="1">#REF!</definedName>
    <definedName name="_iso1" localSheetId="11">#REF!</definedName>
    <definedName name="_iso1" localSheetId="7">#REF!</definedName>
    <definedName name="_iso1" localSheetId="12">[2]Resumo!#REF!</definedName>
    <definedName name="_iso1" localSheetId="0">#REF!</definedName>
    <definedName name="_iso1" localSheetId="14">[2]Resumo!#REF!</definedName>
    <definedName name="_iso1" localSheetId="9">#REF!</definedName>
    <definedName name="_iso1">#REF!</definedName>
    <definedName name="_iso11" localSheetId="1">#REF!</definedName>
    <definedName name="_iso11" localSheetId="11">#REF!</definedName>
    <definedName name="_iso11" localSheetId="7">#REF!</definedName>
    <definedName name="_iso11" localSheetId="12">[2]Resumo!#REF!</definedName>
    <definedName name="_iso11" localSheetId="0">#REF!</definedName>
    <definedName name="_iso11" localSheetId="14">[2]Resumo!#REF!</definedName>
    <definedName name="_iso11" localSheetId="9">#REF!</definedName>
    <definedName name="_iso11">#REF!</definedName>
    <definedName name="_iso2" localSheetId="1">#REF!</definedName>
    <definedName name="_iso2" localSheetId="7">#REF!</definedName>
    <definedName name="_iso2" localSheetId="12">[2]Resumo!#REF!</definedName>
    <definedName name="_iso2" localSheetId="0">#REF!</definedName>
    <definedName name="_iso2" localSheetId="14">[2]Resumo!#REF!</definedName>
    <definedName name="_iso2" localSheetId="9">#REF!</definedName>
    <definedName name="_iso2">#REF!</definedName>
    <definedName name="_iso5" localSheetId="1">#REF!</definedName>
    <definedName name="_iso5" localSheetId="7">#REF!</definedName>
    <definedName name="_iso5" localSheetId="12">[2]Resumo!#REF!</definedName>
    <definedName name="_iso5" localSheetId="0">#REF!</definedName>
    <definedName name="_iso5" localSheetId="14">[2]Resumo!#REF!</definedName>
    <definedName name="_iso5" localSheetId="9">#REF!</definedName>
    <definedName name="_iso5">#REF!</definedName>
    <definedName name="_iso6" localSheetId="1">#REF!</definedName>
    <definedName name="_iso6" localSheetId="7">#REF!</definedName>
    <definedName name="_iso6" localSheetId="12">[2]Resumo!#REF!</definedName>
    <definedName name="_iso6" localSheetId="0">#REF!</definedName>
    <definedName name="_iso6" localSheetId="14">[2]Resumo!#REF!</definedName>
    <definedName name="_iso6" localSheetId="9">#REF!</definedName>
    <definedName name="_iso6">#REF!</definedName>
    <definedName name="_iso8" localSheetId="1">#REF!</definedName>
    <definedName name="_iso8" localSheetId="7">#REF!</definedName>
    <definedName name="_iso8" localSheetId="12">[2]Resumo!#REF!</definedName>
    <definedName name="_iso8" localSheetId="0">#REF!</definedName>
    <definedName name="_iso8" localSheetId="14">[2]Resumo!#REF!</definedName>
    <definedName name="_iso8" localSheetId="9">#REF!</definedName>
    <definedName name="_iso8">#REF!</definedName>
    <definedName name="_Key1" localSheetId="12" hidden="1">'[8]HPS Slit Coil (Centralia)'!#REF!</definedName>
    <definedName name="_Key1" localSheetId="14" hidden="1">'[9]HPS Slit Coil (Centralia)'!#REF!</definedName>
    <definedName name="_Key1" localSheetId="9" hidden="1">#REF!</definedName>
    <definedName name="_Key1" hidden="1">#REF!</definedName>
    <definedName name="_Key2" localSheetId="12" hidden="1">'[8]HPS Slit Coil (Centralia)'!#REF!</definedName>
    <definedName name="_Key2" localSheetId="14" hidden="1">'[9]HPS Slit Coil (Centralia)'!#REF!</definedName>
    <definedName name="_Key2" localSheetId="9" hidden="1">#REF!</definedName>
    <definedName name="_Key2" hidden="1">#REF!</definedName>
    <definedName name="_mo2" localSheetId="1">#REF!</definedName>
    <definedName name="_mo2" localSheetId="7">#REF!</definedName>
    <definedName name="_mo2" localSheetId="12">[2]Resumo!$X$442</definedName>
    <definedName name="_mo2" localSheetId="0">#REF!</definedName>
    <definedName name="_mo2" localSheetId="14">[2]Resumo!$X$442</definedName>
    <definedName name="_mo2" localSheetId="9">#REF!</definedName>
    <definedName name="_mo2">#REF!</definedName>
    <definedName name="_mo3" localSheetId="1">#REF!</definedName>
    <definedName name="_mo3" localSheetId="7">#REF!</definedName>
    <definedName name="_mo3" localSheetId="12">[2]Resumo!$X$394</definedName>
    <definedName name="_mo3" localSheetId="0">#REF!</definedName>
    <definedName name="_mo3" localSheetId="14">[2]Resumo!$X$394</definedName>
    <definedName name="_mo3" localSheetId="9">#REF!</definedName>
    <definedName name="_mo3">#REF!</definedName>
    <definedName name="_mo5" localSheetId="1">#REF!</definedName>
    <definedName name="_mo5" localSheetId="7">#REF!</definedName>
    <definedName name="_mo5" localSheetId="12">[2]Resumo!$X$13</definedName>
    <definedName name="_mo5" localSheetId="0">#REF!</definedName>
    <definedName name="_mo5" localSheetId="14">[2]Resumo!$X$13</definedName>
    <definedName name="_mo5" localSheetId="9">#REF!</definedName>
    <definedName name="_mo5">#REF!</definedName>
    <definedName name="_mo6" localSheetId="1">#REF!</definedName>
    <definedName name="_mo6" localSheetId="7">#REF!</definedName>
    <definedName name="_mo6" localSheetId="12">[2]Resumo!$X$26</definedName>
    <definedName name="_mo6" localSheetId="0">#REF!</definedName>
    <definedName name="_mo6" localSheetId="14">[2]Resumo!$X$26</definedName>
    <definedName name="_mo6" localSheetId="9">#REF!</definedName>
    <definedName name="_mo6">#REF!</definedName>
    <definedName name="_mo7" localSheetId="1">#REF!</definedName>
    <definedName name="_mo7" localSheetId="7">#REF!</definedName>
    <definedName name="_mo7" localSheetId="12">[2]Resumo!$X$118</definedName>
    <definedName name="_mo7" localSheetId="0">#REF!</definedName>
    <definedName name="_mo7" localSheetId="14">[2]Resumo!$X$118</definedName>
    <definedName name="_mo7" localSheetId="9">#REF!</definedName>
    <definedName name="_mo7">#REF!</definedName>
    <definedName name="_mo9" localSheetId="1">#REF!</definedName>
    <definedName name="_mo9" localSheetId="7">#REF!</definedName>
    <definedName name="_mo9" localSheetId="12">[2]Resumo!$X$450</definedName>
    <definedName name="_mo9" localSheetId="0">#REF!</definedName>
    <definedName name="_mo9" localSheetId="14">[2]Resumo!$X$450</definedName>
    <definedName name="_mo9" localSheetId="9">#REF!</definedName>
    <definedName name="_mo9">#REF!</definedName>
    <definedName name="_Order1" hidden="1">255</definedName>
    <definedName name="_Order2" hidden="1">255</definedName>
    <definedName name="_Parse_Out" localSheetId="12" hidden="1">'[8]HPS Slit Coil (Centralia)'!#REF!</definedName>
    <definedName name="_Parse_Out" localSheetId="14" hidden="1">'[9]HPS Slit Coil (Centralia)'!#REF!</definedName>
    <definedName name="_Parse_Out" localSheetId="9" hidden="1">#REF!</definedName>
    <definedName name="_Parse_Out" hidden="1">#REF!</definedName>
    <definedName name="_PE3" localSheetId="12" hidden="1">[6]DADOS!#REF!</definedName>
    <definedName name="_PE3" localSheetId="14" hidden="1">[7]DADOS!#REF!</definedName>
    <definedName name="_PE3" localSheetId="9" hidden="1">#REF!</definedName>
    <definedName name="_PE3" hidden="1">#REF!</definedName>
    <definedName name="_rev1" localSheetId="1">#REF!</definedName>
    <definedName name="_rev1" localSheetId="11">#REF!</definedName>
    <definedName name="_rev1" localSheetId="7">#REF!</definedName>
    <definedName name="_rev1" localSheetId="12">[2]Resumo!#REF!</definedName>
    <definedName name="_rev1" localSheetId="0">#REF!</definedName>
    <definedName name="_rev1" localSheetId="14">[2]Resumo!#REF!</definedName>
    <definedName name="_rev1" localSheetId="9">#REF!</definedName>
    <definedName name="_rev1">#REF!</definedName>
    <definedName name="_rev11" localSheetId="1">#REF!</definedName>
    <definedName name="_rev11" localSheetId="11">#REF!</definedName>
    <definedName name="_rev11" localSheetId="7">#REF!</definedName>
    <definedName name="_rev11" localSheetId="12">[2]Resumo!#REF!</definedName>
    <definedName name="_rev11" localSheetId="0">#REF!</definedName>
    <definedName name="_rev11" localSheetId="14">[2]Resumo!#REF!</definedName>
    <definedName name="_rev11" localSheetId="9">#REF!</definedName>
    <definedName name="_rev11">#REF!</definedName>
    <definedName name="_rev2" localSheetId="1">#REF!</definedName>
    <definedName name="_rev2" localSheetId="7">#REF!</definedName>
    <definedName name="_rev2" localSheetId="12">[2]Resumo!#REF!</definedName>
    <definedName name="_rev2" localSheetId="0">#REF!</definedName>
    <definedName name="_rev2" localSheetId="14">[2]Resumo!#REF!</definedName>
    <definedName name="_rev2" localSheetId="9">#REF!</definedName>
    <definedName name="_rev2">#REF!</definedName>
    <definedName name="_rev5" localSheetId="1">#REF!</definedName>
    <definedName name="_rev5" localSheetId="7">#REF!</definedName>
    <definedName name="_rev5" localSheetId="12">[2]Resumo!#REF!</definedName>
    <definedName name="_rev5" localSheetId="0">#REF!</definedName>
    <definedName name="_rev5" localSheetId="14">[2]Resumo!#REF!</definedName>
    <definedName name="_rev5" localSheetId="9">#REF!</definedName>
    <definedName name="_rev5">#REF!</definedName>
    <definedName name="_rev6" localSheetId="1">#REF!</definedName>
    <definedName name="_rev6" localSheetId="7">#REF!</definedName>
    <definedName name="_rev6" localSheetId="12">[2]Resumo!#REF!</definedName>
    <definedName name="_rev6" localSheetId="0">#REF!</definedName>
    <definedName name="_rev6" localSheetId="14">[2]Resumo!#REF!</definedName>
    <definedName name="_rev6" localSheetId="9">#REF!</definedName>
    <definedName name="_rev6">#REF!</definedName>
    <definedName name="_rev8" localSheetId="1">#REF!</definedName>
    <definedName name="_rev8" localSheetId="7">#REF!</definedName>
    <definedName name="_rev8" localSheetId="12">[2]Resumo!#REF!</definedName>
    <definedName name="_rev8" localSheetId="0">#REF!</definedName>
    <definedName name="_rev8" localSheetId="14">[2]Resumo!#REF!</definedName>
    <definedName name="_rev8" localSheetId="9">#REF!</definedName>
    <definedName name="_rev8">#REF!</definedName>
    <definedName name="_Sort" localSheetId="12" hidden="1">'[8]HPS Slit Coil (Centralia)'!#REF!</definedName>
    <definedName name="_Sort" localSheetId="14" hidden="1">'[9]HPS Slit Coil (Centralia)'!#REF!</definedName>
    <definedName name="_Sort" localSheetId="9" hidden="1">#REF!</definedName>
    <definedName name="_Sort" hidden="1">#REF!</definedName>
    <definedName name="_TAB1" localSheetId="1">#REF!</definedName>
    <definedName name="_TAB1" localSheetId="11">#REF!</definedName>
    <definedName name="_TAB1" localSheetId="7">#REF!</definedName>
    <definedName name="_TAB1" localSheetId="12">#REF!</definedName>
    <definedName name="_TAB1" localSheetId="0">#REF!</definedName>
    <definedName name="_TAB1" localSheetId="14">#REF!</definedName>
    <definedName name="_TAB1" localSheetId="9">#REF!</definedName>
    <definedName name="_TAB1">#REF!</definedName>
    <definedName name="_TAB2" localSheetId="1">#REF!</definedName>
    <definedName name="_TAB2" localSheetId="7">#REF!</definedName>
    <definedName name="_TAB2" localSheetId="12">#REF!</definedName>
    <definedName name="_TAB2" localSheetId="0">#REF!</definedName>
    <definedName name="_TAB2" localSheetId="14">#REF!</definedName>
    <definedName name="_TAB2" localSheetId="9">#REF!</definedName>
    <definedName name="_TAB2">#REF!</definedName>
    <definedName name="_TAB3" localSheetId="1">#REF!</definedName>
    <definedName name="_TAB3" localSheetId="7">#REF!</definedName>
    <definedName name="_TAB3" localSheetId="12">#REF!</definedName>
    <definedName name="_TAB3" localSheetId="0">#REF!</definedName>
    <definedName name="_TAB3" localSheetId="14">#REF!</definedName>
    <definedName name="_TAB3" localSheetId="9">#REF!</definedName>
    <definedName name="_TAB3">#REF!</definedName>
    <definedName name="_x1" localSheetId="11" hidden="1">{#N/A,#N/A,FALSE,"Cover";#N/A,#N/A,FALSE,"Profits";#N/A,#N/A,FALSE,"ABS";#N/A,#N/A,FALSE,"TFLE Detail";#N/A,#N/A,FALSE,"TFLE Walk";#N/A,#N/A,FALSE,"Variable Cost";#N/A,#N/A,FALSE,"V.C. Walk"}</definedName>
    <definedName name="_x1" localSheetId="12" hidden="1">{#N/A,#N/A,FALSE,"Cover";#N/A,#N/A,FALSE,"Profits";#N/A,#N/A,FALSE,"ABS";#N/A,#N/A,FALSE,"TFLE Detail";#N/A,#N/A,FALSE,"TFLE Walk";#N/A,#N/A,FALSE,"Variable Cost";#N/A,#N/A,FALSE,"V.C. Walk"}</definedName>
    <definedName name="_x1" localSheetId="14" hidden="1">{#N/A,#N/A,FALSE,"Cover";#N/A,#N/A,FALSE,"Profits";#N/A,#N/A,FALSE,"ABS";#N/A,#N/A,FALSE,"TFLE Detail";#N/A,#N/A,FALSE,"TFLE Walk";#N/A,#N/A,FALSE,"Variable Cost";#N/A,#N/A,FALSE,"V.C. Walk"}</definedName>
    <definedName name="_x1" localSheetId="9" hidden="1">{#N/A,#N/A,FALSE,"Cover";#N/A,#N/A,FALSE,"Profits";#N/A,#N/A,FALSE,"ABS";#N/A,#N/A,FALSE,"TFLE Detail";#N/A,#N/A,FALSE,"TFLE Walk";#N/A,#N/A,FALSE,"Variable Cost";#N/A,#N/A,FALSE,"V.C. Walk"}</definedName>
    <definedName name="_x1" hidden="1">{#N/A,#N/A,FALSE,"Cover";#N/A,#N/A,FALSE,"Profits";#N/A,#N/A,FALSE,"ABS";#N/A,#N/A,FALSE,"TFLE Detail";#N/A,#N/A,FALSE,"TFLE Walk";#N/A,#N/A,FALSE,"Variable Cost";#N/A,#N/A,FALSE,"V.C. Walk"}</definedName>
    <definedName name="AAA" localSheetId="11" hidden="1">{#N/A,#N/A,FALSE,"ET-CAPA";#N/A,#N/A,FALSE,"ET-PAG1";#N/A,#N/A,FALSE,"ET-PAG2";#N/A,#N/A,FALSE,"ET-PAG3";#N/A,#N/A,FALSE,"ET-PAG4";#N/A,#N/A,FALSE,"ET-PAG5"}</definedName>
    <definedName name="AAA" localSheetId="12" hidden="1">{#N/A,#N/A,FALSE,"ET-CAPA";#N/A,#N/A,FALSE,"ET-PAG1";#N/A,#N/A,FALSE,"ET-PAG2";#N/A,#N/A,FALSE,"ET-PAG3";#N/A,#N/A,FALSE,"ET-PAG4";#N/A,#N/A,FALSE,"ET-PAG5"}</definedName>
    <definedName name="AAA" localSheetId="14" hidden="1">{#N/A,#N/A,FALSE,"ET-CAPA";#N/A,#N/A,FALSE,"ET-PAG1";#N/A,#N/A,FALSE,"ET-PAG2";#N/A,#N/A,FALSE,"ET-PAG3";#N/A,#N/A,FALSE,"ET-PAG4";#N/A,#N/A,FALSE,"ET-PAG5"}</definedName>
    <definedName name="AAA" localSheetId="9" hidden="1">{#N/A,#N/A,FALSE,"ET-CAPA";#N/A,#N/A,FALSE,"ET-PAG1";#N/A,#N/A,FALSE,"ET-PAG2";#N/A,#N/A,FALSE,"ET-PAG3";#N/A,#N/A,FALSE,"ET-PAG4";#N/A,#N/A,FALSE,"ET-PAG5"}</definedName>
    <definedName name="AAA" hidden="1">{#N/A,#N/A,FALSE,"ET-CAPA";#N/A,#N/A,FALSE,"ET-PAG1";#N/A,#N/A,FALSE,"ET-PAG2";#N/A,#N/A,FALSE,"ET-PAG3";#N/A,#N/A,FALSE,"ET-PAG4";#N/A,#N/A,FALSE,"ET-PAG5"}</definedName>
    <definedName name="aaaaaaaaaaaaaa" localSheetId="12" hidden="1">#REF!</definedName>
    <definedName name="aaaaaaaaaaaaaa" localSheetId="14" hidden="1">#REF!</definedName>
    <definedName name="aaaaaaaaaaaaaa" localSheetId="9" hidden="1">#REF!</definedName>
    <definedName name="aaaaaaaaaaaaaa" hidden="1">#REF!</definedName>
    <definedName name="AccessDatabase" hidden="1">"C:\PESSOAL\RICARDO\PROGRESS\DIVERSOS\EMPREIT.mdb"</definedName>
    <definedName name="aces11" localSheetId="1">#REF!</definedName>
    <definedName name="aces11" localSheetId="11">#REF!</definedName>
    <definedName name="aces11" localSheetId="7">#REF!</definedName>
    <definedName name="aces11" localSheetId="12">[2]Resumo!#REF!</definedName>
    <definedName name="aces11" localSheetId="0">#REF!</definedName>
    <definedName name="aces11" localSheetId="14">[2]Resumo!#REF!</definedName>
    <definedName name="aces11" localSheetId="9">#REF!</definedName>
    <definedName name="aces11">#REF!</definedName>
    <definedName name="Acompanhamento" hidden="1">"4424KAROPA72W2MUU1RYR1U1C"</definedName>
    <definedName name="ActionsList" localSheetId="12">'[10]14. Actions'!$A$6:$A$27</definedName>
    <definedName name="ActionsList" localSheetId="14">'[10]14. Actions'!$A$6:$A$27</definedName>
    <definedName name="ActionsList" localSheetId="9">#REF!</definedName>
    <definedName name="ActionsList">#REF!</definedName>
    <definedName name="ada" localSheetId="12">[11]FONTE!$B$5:$B$47</definedName>
    <definedName name="ada" localSheetId="14">[12]FONTE!$B$5:$B$47</definedName>
    <definedName name="ada" localSheetId="9">#REF!</definedName>
    <definedName name="ada">#REF!</definedName>
    <definedName name="afa" localSheetId="12">[13]FONTE!$B$300:$B$302</definedName>
    <definedName name="afa" localSheetId="14">[13]FONTE!$B$300:$B$302</definedName>
    <definedName name="afa" localSheetId="9">#REF!</definedName>
    <definedName name="afa">#REF!</definedName>
    <definedName name="AMBIENTE" localSheetId="12">#REF!</definedName>
    <definedName name="AMBIENTE" localSheetId="14">#REF!</definedName>
    <definedName name="AMBIENTE" localSheetId="9">#REF!</definedName>
    <definedName name="AMBIENTE">#REF!</definedName>
    <definedName name="ANDAIME_PARA" localSheetId="12">#REF!</definedName>
    <definedName name="ANDAIME_PARA" localSheetId="14">#REF!</definedName>
    <definedName name="ANDAIME_PARA" localSheetId="9">#REF!</definedName>
    <definedName name="ANDAIME_PARA">#REF!</definedName>
    <definedName name="Área" localSheetId="7">#REF!</definedName>
    <definedName name="Área" localSheetId="12">#REF!</definedName>
    <definedName name="Área" localSheetId="0">#REF!</definedName>
    <definedName name="Área" localSheetId="14">#REF!</definedName>
    <definedName name="Área" localSheetId="9">#REF!</definedName>
    <definedName name="Área">#REF!</definedName>
    <definedName name="_xlnm.Print_Area" localSheetId="1">AS!$B$1:$AQ$56</definedName>
    <definedName name="_xlnm.Print_Area" localSheetId="7">CURVA!$A$1:$DO$41</definedName>
    <definedName name="_xlnm.Print_Area" localSheetId="6">'EQUIPAMENTOS '!$A$1:$N$16</definedName>
    <definedName name="_xlnm.Print_Area" localSheetId="3">FOTOS!$A$1:$H$330</definedName>
    <definedName name="_xlnm.Print_Area" localSheetId="12">HISTOGRAMA!$CS$8:$DD$37</definedName>
    <definedName name="_xlnm.Print_Area" localSheetId="18">'LINHAS - LEVANTAMENTO'!$A$1:$Y$74</definedName>
    <definedName name="_xlnm.Print_Area" localSheetId="4">'LINHAS anterior'!$A$1:$X$48</definedName>
    <definedName name="_xlnm.Print_Area" localSheetId="5">RESUMO!$A$1:$J$17</definedName>
    <definedName name="_xlnm.Print_Area" localSheetId="0">'RESUMO_CAPA  '!$A$1:$AC$47</definedName>
    <definedName name="_xlnm.Print_Area" localSheetId="14">'TOTAL SERVIÇO + MATERIAL'!$A$1:$H$8</definedName>
    <definedName name="_xlnm.Print_Area" localSheetId="9">'TUB. PU'!$D$1:$AG$114</definedName>
    <definedName name="Área_impressão_IM" localSheetId="1">#REF!</definedName>
    <definedName name="Área_impressão_IM" localSheetId="11">#REF!</definedName>
    <definedName name="Área_impressão_IM" localSheetId="7">#REF!</definedName>
    <definedName name="Área_impressão_IM" localSheetId="12">#REF!</definedName>
    <definedName name="Área_impressão_IM" localSheetId="0">#REF!</definedName>
    <definedName name="Área_impressão_IM" localSheetId="14">#REF!</definedName>
    <definedName name="Área_impressão_IM" localSheetId="9">#REF!</definedName>
    <definedName name="Área_impressão_IM">#REF!</definedName>
    <definedName name="area1" localSheetId="1">#REF!</definedName>
    <definedName name="area1" localSheetId="12">#REF!</definedName>
    <definedName name="area1" localSheetId="0">#REF!</definedName>
    <definedName name="area1" localSheetId="14">#REF!</definedName>
    <definedName name="area1" localSheetId="9">#REF!</definedName>
    <definedName name="area1">#REF!</definedName>
    <definedName name="as" localSheetId="11" hidden="1">{#N/A,#N/A,FALSE,"FATURAM";#N/A,#N/A,FALSE,"PrVnd"}</definedName>
    <definedName name="as" localSheetId="12" hidden="1">{#N/A,#N/A,FALSE,"FATURAM";#N/A,#N/A,FALSE,"PrVnd"}</definedName>
    <definedName name="as" localSheetId="14" hidden="1">{#N/A,#N/A,FALSE,"FATURAM";#N/A,#N/A,FALSE,"PrVnd"}</definedName>
    <definedName name="as" localSheetId="9" hidden="1">{#N/A,#N/A,FALSE,"FATURAM";#N/A,#N/A,FALSE,"PrVnd"}</definedName>
    <definedName name="as" hidden="1">{#N/A,#N/A,FALSE,"FATURAM";#N/A,#N/A,FALSE,"PrVnd"}</definedName>
    <definedName name="ASSIS" localSheetId="1">#REF!</definedName>
    <definedName name="ASSIS" localSheetId="11">#REF!</definedName>
    <definedName name="ASSIS" localSheetId="7">#REF!</definedName>
    <definedName name="ASSIS" localSheetId="12">#REF!</definedName>
    <definedName name="ASSIS" localSheetId="0">#REF!</definedName>
    <definedName name="ASSIS" localSheetId="14">#REF!</definedName>
    <definedName name="ASSIS" localSheetId="9">#REF!</definedName>
    <definedName name="ASSIS">#REF!</definedName>
    <definedName name="ATIVIDADE" localSheetId="12">#REF!</definedName>
    <definedName name="ATIVIDADE" localSheetId="14">#REF!</definedName>
    <definedName name="ATIVIDADE" localSheetId="9">#REF!</definedName>
    <definedName name="ATIVIDADE">#REF!</definedName>
    <definedName name="aux" localSheetId="1">#REF!</definedName>
    <definedName name="aux" localSheetId="11">#REF!</definedName>
    <definedName name="aux" localSheetId="7">#REF!</definedName>
    <definedName name="aux" localSheetId="12">[2]Resumo!#REF!</definedName>
    <definedName name="aux" localSheetId="0">#REF!</definedName>
    <definedName name="aux" localSheetId="14">[2]Resumo!#REF!</definedName>
    <definedName name="aux" localSheetId="9">#REF!</definedName>
    <definedName name="aux">#REF!</definedName>
    <definedName name="Avanço" localSheetId="11" hidden="1">{#N/A,#N/A,FALSE,"ET-CAPA";#N/A,#N/A,FALSE,"ET-PAG1";#N/A,#N/A,FALSE,"ET-PAG2";#N/A,#N/A,FALSE,"ET-PAG3";#N/A,#N/A,FALSE,"ET-PAG4";#N/A,#N/A,FALSE,"ET-PAG5"}</definedName>
    <definedName name="Avanço" localSheetId="12" hidden="1">{#N/A,#N/A,FALSE,"ET-CAPA";#N/A,#N/A,FALSE,"ET-PAG1";#N/A,#N/A,FALSE,"ET-PAG2";#N/A,#N/A,FALSE,"ET-PAG3";#N/A,#N/A,FALSE,"ET-PAG4";#N/A,#N/A,FALSE,"ET-PAG5"}</definedName>
    <definedName name="Avanço" localSheetId="14" hidden="1">{#N/A,#N/A,FALSE,"ET-CAPA";#N/A,#N/A,FALSE,"ET-PAG1";#N/A,#N/A,FALSE,"ET-PAG2";#N/A,#N/A,FALSE,"ET-PAG3";#N/A,#N/A,FALSE,"ET-PAG4";#N/A,#N/A,FALSE,"ET-PAG5"}</definedName>
    <definedName name="Avanço" localSheetId="9" hidden="1">{#N/A,#N/A,FALSE,"ET-CAPA";#N/A,#N/A,FALSE,"ET-PAG1";#N/A,#N/A,FALSE,"ET-PAG2";#N/A,#N/A,FALSE,"ET-PAG3";#N/A,#N/A,FALSE,"ET-PAG4";#N/A,#N/A,FALSE,"ET-PAG5"}</definedName>
    <definedName name="Avanço" hidden="1">{#N/A,#N/A,FALSE,"ET-CAPA";#N/A,#N/A,FALSE,"ET-PAG1";#N/A,#N/A,FALSE,"ET-PAG2";#N/A,#N/A,FALSE,"ET-PAG3";#N/A,#N/A,FALSE,"ET-PAG4";#N/A,#N/A,FALSE,"ET-PAG5"}</definedName>
    <definedName name="bb" localSheetId="11" hidden="1">{#N/A,#N/A,FALSE,"ET-CAPA";#N/A,#N/A,FALSE,"ET-PAG1";#N/A,#N/A,FALSE,"ET-PAG2";#N/A,#N/A,FALSE,"ET-PAG3";#N/A,#N/A,FALSE,"ET-PAG4";#N/A,#N/A,FALSE,"ET-PAG5"}</definedName>
    <definedName name="bb" localSheetId="12" hidden="1">{#N/A,#N/A,FALSE,"ET-CAPA";#N/A,#N/A,FALSE,"ET-PAG1";#N/A,#N/A,FALSE,"ET-PAG2";#N/A,#N/A,FALSE,"ET-PAG3";#N/A,#N/A,FALSE,"ET-PAG4";#N/A,#N/A,FALSE,"ET-PAG5"}</definedName>
    <definedName name="bb" localSheetId="14" hidden="1">{#N/A,#N/A,FALSE,"ET-CAPA";#N/A,#N/A,FALSE,"ET-PAG1";#N/A,#N/A,FALSE,"ET-PAG2";#N/A,#N/A,FALSE,"ET-PAG3";#N/A,#N/A,FALSE,"ET-PAG4";#N/A,#N/A,FALSE,"ET-PAG5"}</definedName>
    <definedName name="bb" localSheetId="9" hidden="1">{#N/A,#N/A,FALSE,"ET-CAPA";#N/A,#N/A,FALSE,"ET-PAG1";#N/A,#N/A,FALSE,"ET-PAG2";#N/A,#N/A,FALSE,"ET-PAG3";#N/A,#N/A,FALSE,"ET-PAG4";#N/A,#N/A,FALSE,"ET-PAG5"}</definedName>
    <definedName name="bb" hidden="1">{#N/A,#N/A,FALSE,"ET-CAPA";#N/A,#N/A,FALSE,"ET-PAG1";#N/A,#N/A,FALSE,"ET-PAG2";#N/A,#N/A,FALSE,"ET-PAG3";#N/A,#N/A,FALSE,"ET-PAG4";#N/A,#N/A,FALSE,"ET-PAG5"}</definedName>
    <definedName name="Bitola" localSheetId="1">#REF!</definedName>
    <definedName name="Bitola" localSheetId="7">#REF!</definedName>
    <definedName name="Bitola" localSheetId="12">'[14]TABELA PID'!$A$5:$A$247</definedName>
    <definedName name="Bitola" localSheetId="0">#REF!</definedName>
    <definedName name="Bitola" localSheetId="14">'[14]TABELA PID'!$A$5:$A$247</definedName>
    <definedName name="Bitola" localSheetId="9">#REF!</definedName>
    <definedName name="Bitola">#REF!</definedName>
    <definedName name="BITOLAS" localSheetId="12">'[15]TABELA PID'!$A$4:$A$247</definedName>
    <definedName name="BITOLAS" localSheetId="14">'[15]TABELA PID'!$A$4:$A$247</definedName>
    <definedName name="BITOLAS" localSheetId="9">#REF!</definedName>
    <definedName name="BITOLAS">#REF!</definedName>
    <definedName name="CAB" localSheetId="1">#REF!</definedName>
    <definedName name="CAB" localSheetId="11">#REF!</definedName>
    <definedName name="CAB" localSheetId="7">#REF!</definedName>
    <definedName name="CAB" localSheetId="12">#REF!</definedName>
    <definedName name="CAB" localSheetId="0">#REF!</definedName>
    <definedName name="CAB" localSheetId="14">#REF!</definedName>
    <definedName name="CAB" localSheetId="9">#REF!</definedName>
    <definedName name="CAB">#REF!</definedName>
    <definedName name="cabe" localSheetId="1">#REF!</definedName>
    <definedName name="cabe" localSheetId="7">#REF!</definedName>
    <definedName name="cabe" localSheetId="12">'[4]Avanço Físico Sem26'!$1:$11</definedName>
    <definedName name="cabe" localSheetId="0">#REF!</definedName>
    <definedName name="cabe" localSheetId="14">'[4]Avanço Físico Sem26'!$1:$11</definedName>
    <definedName name="cabe" localSheetId="9">#REF!</definedName>
    <definedName name="cabe">#REF!</definedName>
    <definedName name="cabeca" localSheetId="1">#REF!</definedName>
    <definedName name="cabeca" localSheetId="7">#REF!</definedName>
    <definedName name="cabeca" localSheetId="12">'[4]Rel.Desvios'!$1:$10</definedName>
    <definedName name="cabeca" localSheetId="0">#REF!</definedName>
    <definedName name="cabeca" localSheetId="14">'[4]Rel.Desvios'!$1:$10</definedName>
    <definedName name="cabeca" localSheetId="9">#REF!</definedName>
    <definedName name="cabeca">#REF!</definedName>
    <definedName name="caf" localSheetId="12">[16]FONTE!$B$5:$B$52</definedName>
    <definedName name="caf" localSheetId="14">[17]FONTE!$B$5:$B$52</definedName>
    <definedName name="caf" localSheetId="9">#REF!</definedName>
    <definedName name="caf">#REF!</definedName>
    <definedName name="casa" localSheetId="11" hidden="1">{#N/A,#N/A,FALSE,"FATURAM";#N/A,#N/A,FALSE,"PrVnd"}</definedName>
    <definedName name="casa" localSheetId="12" hidden="1">{#N/A,#N/A,FALSE,"FATURAM";#N/A,#N/A,FALSE,"PrVnd"}</definedName>
    <definedName name="casa" localSheetId="14" hidden="1">{#N/A,#N/A,FALSE,"FATURAM";#N/A,#N/A,FALSE,"PrVnd"}</definedName>
    <definedName name="casa" localSheetId="9" hidden="1">{#N/A,#N/A,FALSE,"FATURAM";#N/A,#N/A,FALSE,"PrVnd"}</definedName>
    <definedName name="casa" hidden="1">{#N/A,#N/A,FALSE,"FATURAM";#N/A,#N/A,FALSE,"PrVnd"}</definedName>
    <definedName name="COBRANÇA" localSheetId="12">#REF!</definedName>
    <definedName name="COBRANÇA" localSheetId="14">#REF!</definedName>
    <definedName name="COBRANÇA" localSheetId="9">#REF!</definedName>
    <definedName name="COBRANÇA">#REF!</definedName>
    <definedName name="concorrentes" localSheetId="11" hidden="1">{#N/A,#N/A,FALSE,"Cronograma";#N/A,#N/A,FALSE,"Cronogr. 2"}</definedName>
    <definedName name="concorrentes" localSheetId="12" hidden="1">{#N/A,#N/A,FALSE,"Cronograma";#N/A,#N/A,FALSE,"Cronogr. 2"}</definedName>
    <definedName name="concorrentes" localSheetId="14" hidden="1">{#N/A,#N/A,FALSE,"Cronograma";#N/A,#N/A,FALSE,"Cronogr. 2"}</definedName>
    <definedName name="concorrentes" localSheetId="9" hidden="1">{#N/A,#N/A,FALSE,"Cronograma";#N/A,#N/A,FALSE,"Cronogr. 2"}</definedName>
    <definedName name="concorrentes" hidden="1">{#N/A,#N/A,FALSE,"Cronograma";#N/A,#N/A,FALSE,"Cronogr. 2"}</definedName>
    <definedName name="COPIA" localSheetId="11" hidden="1">{#N/A,#N/A,FALSE,"CONTROLE"}</definedName>
    <definedName name="COPIA" localSheetId="12" hidden="1">{#N/A,#N/A,FALSE,"CONTROLE"}</definedName>
    <definedName name="COPIA" localSheetId="14" hidden="1">{#N/A,#N/A,FALSE,"CONTROLE"}</definedName>
    <definedName name="COPIA" localSheetId="9" hidden="1">{#N/A,#N/A,FALSE,"CONTROLE"}</definedName>
    <definedName name="COPIA" hidden="1">{#N/A,#N/A,FALSE,"CONTROLE"}</definedName>
    <definedName name="COPIA1" localSheetId="11" hidden="1">{#N/A,#N/A,FALSE,"CONTROLE"}</definedName>
    <definedName name="COPIA1" localSheetId="12" hidden="1">{#N/A,#N/A,FALSE,"CONTROLE"}</definedName>
    <definedName name="COPIA1" localSheetId="14" hidden="1">{#N/A,#N/A,FALSE,"CONTROLE"}</definedName>
    <definedName name="COPIA1" localSheetId="9" hidden="1">{#N/A,#N/A,FALSE,"CONTROLE"}</definedName>
    <definedName name="COPIA1" hidden="1">{#N/A,#N/A,FALSE,"CONTROLE"}</definedName>
    <definedName name="cpv" localSheetId="1">#REF!</definedName>
    <definedName name="cpv" localSheetId="7">#REF!</definedName>
    <definedName name="cpv" localSheetId="12">[18]CPV!$J$42</definedName>
    <definedName name="cpv" localSheetId="0">#REF!</definedName>
    <definedName name="cpv" localSheetId="14">[18]CPV!$J$42</definedName>
    <definedName name="cpv" localSheetId="9">#REF!</definedName>
    <definedName name="cpv">#REF!</definedName>
    <definedName name="DA" localSheetId="12">[19]FONTE!$B$107:$B$112</definedName>
    <definedName name="DA" localSheetId="14">[19]FONTE!$B$107:$B$112</definedName>
    <definedName name="DA" localSheetId="9">#REF!</definedName>
    <definedName name="DA">#REF!</definedName>
    <definedName name="dad" localSheetId="12">[20]FONTE!$B$87:$B$93</definedName>
    <definedName name="dad" localSheetId="14">[20]FONTE!$B$87:$B$93</definedName>
    <definedName name="dad" localSheetId="9">#REF!</definedName>
    <definedName name="dad">#REF!</definedName>
    <definedName name="dada" localSheetId="12">[21]FONTE!$B$5:$B$51</definedName>
    <definedName name="dada" localSheetId="14">[21]FONTE!$B$5:$B$51</definedName>
    <definedName name="dada" localSheetId="9">#REF!</definedName>
    <definedName name="dada">#REF!</definedName>
    <definedName name="daf" localSheetId="12">[13]FONTE!$B$38:$B$242</definedName>
    <definedName name="daf" localSheetId="14">[13]FONTE!$B$38:$B$242</definedName>
    <definedName name="daf" localSheetId="9">#REF!</definedName>
    <definedName name="daf">#REF!</definedName>
    <definedName name="dd" localSheetId="11" hidden="1">{#N/A,#N/A,FALSE,"ET-CAPA";#N/A,#N/A,FALSE,"ET-PAG1";#N/A,#N/A,FALSE,"ET-PAG2";#N/A,#N/A,FALSE,"ET-PAG3";#N/A,#N/A,FALSE,"ET-PAG4";#N/A,#N/A,FALSE,"ET-PAG5"}</definedName>
    <definedName name="dd" localSheetId="12" hidden="1">{#N/A,#N/A,FALSE,"ET-CAPA";#N/A,#N/A,FALSE,"ET-PAG1";#N/A,#N/A,FALSE,"ET-PAG2";#N/A,#N/A,FALSE,"ET-PAG3";#N/A,#N/A,FALSE,"ET-PAG4";#N/A,#N/A,FALSE,"ET-PAG5"}</definedName>
    <definedName name="dd" localSheetId="14" hidden="1">{#N/A,#N/A,FALSE,"ET-CAPA";#N/A,#N/A,FALSE,"ET-PAG1";#N/A,#N/A,FALSE,"ET-PAG2";#N/A,#N/A,FALSE,"ET-PAG3";#N/A,#N/A,FALSE,"ET-PAG4";#N/A,#N/A,FALSE,"ET-PAG5"}</definedName>
    <definedName name="dd" localSheetId="9" hidden="1">{#N/A,#N/A,FALSE,"ET-CAPA";#N/A,#N/A,FALSE,"ET-PAG1";#N/A,#N/A,FALSE,"ET-PAG2";#N/A,#N/A,FALSE,"ET-PAG3";#N/A,#N/A,FALSE,"ET-PAG4";#N/A,#N/A,FALSE,"ET-PAG5"}</definedName>
    <definedName name="dd" hidden="1">{#N/A,#N/A,FALSE,"ET-CAPA";#N/A,#N/A,FALSE,"ET-PAG1";#N/A,#N/A,FALSE,"ET-PAG2";#N/A,#N/A,FALSE,"ET-PAG3";#N/A,#N/A,FALSE,"ET-PAG4";#N/A,#N/A,FALSE,"ET-PAG5"}</definedName>
    <definedName name="DDD" localSheetId="11" hidden="1">{#N/A,#N/A,FALSE,"ET-CAPA";#N/A,#N/A,FALSE,"ET-PAG1";#N/A,#N/A,FALSE,"ET-PAG2";#N/A,#N/A,FALSE,"ET-PAG3";#N/A,#N/A,FALSE,"ET-PAG4";#N/A,#N/A,FALSE,"ET-PAG5"}</definedName>
    <definedName name="DDD" localSheetId="12" hidden="1">{#N/A,#N/A,FALSE,"ET-CAPA";#N/A,#N/A,FALSE,"ET-PAG1";#N/A,#N/A,FALSE,"ET-PAG2";#N/A,#N/A,FALSE,"ET-PAG3";#N/A,#N/A,FALSE,"ET-PAG4";#N/A,#N/A,FALSE,"ET-PAG5"}</definedName>
    <definedName name="DDD" localSheetId="14" hidden="1">{#N/A,#N/A,FALSE,"ET-CAPA";#N/A,#N/A,FALSE,"ET-PAG1";#N/A,#N/A,FALSE,"ET-PAG2";#N/A,#N/A,FALSE,"ET-PAG3";#N/A,#N/A,FALSE,"ET-PAG4";#N/A,#N/A,FALSE,"ET-PAG5"}</definedName>
    <definedName name="DDD" localSheetId="9" hidden="1">{#N/A,#N/A,FALSE,"ET-CAPA";#N/A,#N/A,FALSE,"ET-PAG1";#N/A,#N/A,FALSE,"ET-PAG2";#N/A,#N/A,FALSE,"ET-PAG3";#N/A,#N/A,FALSE,"ET-PAG4";#N/A,#N/A,FALSE,"ET-PAG5"}</definedName>
    <definedName name="DDD" hidden="1">{#N/A,#N/A,FALSE,"ET-CAPA";#N/A,#N/A,FALSE,"ET-PAG1";#N/A,#N/A,FALSE,"ET-PAG2";#N/A,#N/A,FALSE,"ET-PAG3";#N/A,#N/A,FALSE,"ET-PAG4";#N/A,#N/A,FALSE,"ET-PAG5"}</definedName>
    <definedName name="ddddwa" localSheetId="12" hidden="1">#REF!</definedName>
    <definedName name="ddddwa" localSheetId="14" hidden="1">#REF!</definedName>
    <definedName name="ddddwa" localSheetId="9" hidden="1">#REF!</definedName>
    <definedName name="ddddwa" hidden="1">#REF!</definedName>
    <definedName name="DES" localSheetId="12" hidden="1">#REF!</definedName>
    <definedName name="DES" localSheetId="14" hidden="1">#REF!</definedName>
    <definedName name="DES" localSheetId="9" hidden="1">#REF!</definedName>
    <definedName name="DES" hidden="1">#REF!</definedName>
    <definedName name="DESNIVEL" localSheetId="11" hidden="1">{#N/A,#N/A,FALSE,"RESUMO-BB1";#N/A,#N/A,FALSE,"MOD-A01-R - BB1";#N/A,#N/A,FALSE,"URB-BB1"}</definedName>
    <definedName name="DESNIVEL" localSheetId="12" hidden="1">{#N/A,#N/A,FALSE,"RESUMO-BB1";#N/A,#N/A,FALSE,"MOD-A01-R - BB1";#N/A,#N/A,FALSE,"URB-BB1"}</definedName>
    <definedName name="DESNIVEL" localSheetId="14" hidden="1">{#N/A,#N/A,FALSE,"RESUMO-BB1";#N/A,#N/A,FALSE,"MOD-A01-R - BB1";#N/A,#N/A,FALSE,"URB-BB1"}</definedName>
    <definedName name="DESNIVEL" localSheetId="9" hidden="1">{#N/A,#N/A,FALSE,"RESUMO-BB1";#N/A,#N/A,FALSE,"MOD-A01-R - BB1";#N/A,#N/A,FALSE,"URB-BB1"}</definedName>
    <definedName name="DESNIVEL" hidden="1">{#N/A,#N/A,FALSE,"RESUMO-BB1";#N/A,#N/A,FALSE,"MOD-A01-R - BB1";#N/A,#N/A,FALSE,"URB-BB1"}</definedName>
    <definedName name="dfdaf" hidden="1">15</definedName>
    <definedName name="dfse" localSheetId="12" hidden="1">#REF!</definedName>
    <definedName name="dfse" localSheetId="14" hidden="1">#REF!</definedName>
    <definedName name="dfse" localSheetId="9" hidden="1">#REF!</definedName>
    <definedName name="dfse" hidden="1">#REF!</definedName>
    <definedName name="dfswq" localSheetId="11" hidden="1">{#N/A,#N/A,FALSE,"ET-CAPA";#N/A,#N/A,FALSE,"ET-PAG1";#N/A,#N/A,FALSE,"ET-PAG2";#N/A,#N/A,FALSE,"ET-PAG3";#N/A,#N/A,FALSE,"ET-PAG4";#N/A,#N/A,FALSE,"ET-PAG5"}</definedName>
    <definedName name="dfswq" localSheetId="12" hidden="1">{#N/A,#N/A,FALSE,"ET-CAPA";#N/A,#N/A,FALSE,"ET-PAG1";#N/A,#N/A,FALSE,"ET-PAG2";#N/A,#N/A,FALSE,"ET-PAG3";#N/A,#N/A,FALSE,"ET-PAG4";#N/A,#N/A,FALSE,"ET-PAG5"}</definedName>
    <definedName name="dfswq" localSheetId="14" hidden="1">{#N/A,#N/A,FALSE,"ET-CAPA";#N/A,#N/A,FALSE,"ET-PAG1";#N/A,#N/A,FALSE,"ET-PAG2";#N/A,#N/A,FALSE,"ET-PAG3";#N/A,#N/A,FALSE,"ET-PAG4";#N/A,#N/A,FALSE,"ET-PAG5"}</definedName>
    <definedName name="dfswq" localSheetId="9" hidden="1">{#N/A,#N/A,FALSE,"ET-CAPA";#N/A,#N/A,FALSE,"ET-PAG1";#N/A,#N/A,FALSE,"ET-PAG2";#N/A,#N/A,FALSE,"ET-PAG3";#N/A,#N/A,FALSE,"ET-PAG4";#N/A,#N/A,FALSE,"ET-PAG5"}</definedName>
    <definedName name="dfswq" hidden="1">{#N/A,#N/A,FALSE,"ET-CAPA";#N/A,#N/A,FALSE,"ET-PAG1";#N/A,#N/A,FALSE,"ET-PAG2";#N/A,#N/A,FALSE,"ET-PAG3";#N/A,#N/A,FALSE,"ET-PAG4";#N/A,#N/A,FALSE,"ET-PAG5"}</definedName>
    <definedName name="DIÂMETRO" localSheetId="1">#REF!</definedName>
    <definedName name="DIÂMETRO" localSheetId="11">#REF!</definedName>
    <definedName name="DIÂMETRO" localSheetId="7">#REF!</definedName>
    <definedName name="DIÂMETRO" localSheetId="12">'[22]TABELA PID'!$A$4:$B$247</definedName>
    <definedName name="DIÂMETRO" localSheetId="0">#REF!</definedName>
    <definedName name="DIÂMETRO" localSheetId="14">'[15]TABELA PID'!$A$4:$B$247</definedName>
    <definedName name="DIÂMETRO" localSheetId="9">#REF!</definedName>
    <definedName name="DIÂMETRO">#REF!</definedName>
    <definedName name="DIVISÃO" localSheetId="12">[23]FONTE!$B$4:$B$7</definedName>
    <definedName name="DIVISÃO" localSheetId="14">[23]FONTE!$B$4:$B$7</definedName>
    <definedName name="DIVISÃO" localSheetId="9">#REF!</definedName>
    <definedName name="DIVISÃO">#REF!</definedName>
    <definedName name="Dolar" localSheetId="1">#REF!</definedName>
    <definedName name="Dolar" localSheetId="11">#REF!</definedName>
    <definedName name="Dolar" localSheetId="7">#REF!</definedName>
    <definedName name="Dolar" localSheetId="12">#REF!</definedName>
    <definedName name="Dolar" localSheetId="0">#REF!</definedName>
    <definedName name="Dolar" localSheetId="14">#REF!</definedName>
    <definedName name="Dolar" localSheetId="9">#REF!</definedName>
    <definedName name="Dolar">#REF!</definedName>
    <definedName name="DolarCompra" localSheetId="1">#REF!</definedName>
    <definedName name="DolarCompra" localSheetId="12">#REF!</definedName>
    <definedName name="DolarCompra" localSheetId="0">#REF!</definedName>
    <definedName name="DolarCompra" localSheetId="14">#REF!</definedName>
    <definedName name="DolarCompra" localSheetId="9">#REF!</definedName>
    <definedName name="DolarCompra">#REF!</definedName>
    <definedName name="DolarVenda" localSheetId="1">#REF!</definedName>
    <definedName name="DolarVenda" localSheetId="12">#REF!</definedName>
    <definedName name="DolarVenda" localSheetId="0">#REF!</definedName>
    <definedName name="DolarVenda" localSheetId="14">#REF!</definedName>
    <definedName name="DolarVenda" localSheetId="9">#REF!</definedName>
    <definedName name="DolarVenda">#REF!</definedName>
    <definedName name="dsgsd" localSheetId="11" hidden="1">{#N/A,#N/A,FALSE,"Cronograma";#N/A,#N/A,FALSE,"Cronogr. 2"}</definedName>
    <definedName name="dsgsd" localSheetId="12" hidden="1">{#N/A,#N/A,FALSE,"Cronograma";#N/A,#N/A,FALSE,"Cronogr. 2"}</definedName>
    <definedName name="dsgsd" localSheetId="14" hidden="1">{#N/A,#N/A,FALSE,"Cronograma";#N/A,#N/A,FALSE,"Cronogr. 2"}</definedName>
    <definedName name="dsgsd" localSheetId="9" hidden="1">{#N/A,#N/A,FALSE,"Cronograma";#N/A,#N/A,FALSE,"Cronogr. 2"}</definedName>
    <definedName name="dsgsd" hidden="1">{#N/A,#N/A,FALSE,"Cronograma";#N/A,#N/A,FALSE,"Cronogr. 2"}</definedName>
    <definedName name="efef" localSheetId="12" hidden="1">#REF!</definedName>
    <definedName name="efef" localSheetId="14" hidden="1">#REF!</definedName>
    <definedName name="efef" localSheetId="9" hidden="1">#REF!</definedName>
    <definedName name="efef" hidden="1">#REF!</definedName>
    <definedName name="efgh">#N/A</definedName>
    <definedName name="Equipamentos" localSheetId="1" hidden="1">{#N/A,#N/A,FALSE,"CPV";#N/A,#N/A,FALSE,"Pareto";#N/A,#N/A,FALSE,"Gráficos"}</definedName>
    <definedName name="Equipamentos" localSheetId="11" hidden="1">{#N/A,#N/A,FALSE,"CPV";#N/A,#N/A,FALSE,"Pareto";#N/A,#N/A,FALSE,"Gráficos"}</definedName>
    <definedName name="Equipamentos" localSheetId="7" hidden="1">{#N/A,#N/A,FALSE,"CPV";#N/A,#N/A,FALSE,"Pareto";#N/A,#N/A,FALSE,"Gráficos"}</definedName>
    <definedName name="Equipamentos" localSheetId="12" hidden="1">{#N/A,#N/A,FALSE,"CPV";#N/A,#N/A,FALSE,"Pareto";#N/A,#N/A,FALSE,"Gráficos"}</definedName>
    <definedName name="Equipamentos" localSheetId="0" hidden="1">{#N/A,#N/A,FALSE,"CPV";#N/A,#N/A,FALSE,"Pareto";#N/A,#N/A,FALSE,"Gráficos"}</definedName>
    <definedName name="Equipamentos" localSheetId="14" hidden="1">{#N/A,#N/A,FALSE,"CPV";#N/A,#N/A,FALSE,"Pareto";#N/A,#N/A,FALSE,"Gráficos"}</definedName>
    <definedName name="Equipamentos" localSheetId="9" hidden="1">{#N/A,#N/A,FALSE,"CPV";#N/A,#N/A,FALSE,"Pareto";#N/A,#N/A,FALSE,"Gráficos"}</definedName>
    <definedName name="Equipamentos" hidden="1">{#N/A,#N/A,FALSE,"CPV";#N/A,#N/A,FALSE,"Pareto";#N/A,#N/A,FALSE,"Gráficos"}</definedName>
    <definedName name="EQUIPES" localSheetId="12">[23]FONTE!$B$141:$B$494</definedName>
    <definedName name="EQUIPES" localSheetId="14">[23]FONTE!$B$141:$B$494</definedName>
    <definedName name="EQUIPES" localSheetId="9">#REF!</definedName>
    <definedName name="EQUIPES">#REF!</definedName>
    <definedName name="Eurocompra" localSheetId="1">#REF!</definedName>
    <definedName name="Eurocompra" localSheetId="11">#REF!</definedName>
    <definedName name="Eurocompra" localSheetId="7">#REF!</definedName>
    <definedName name="Eurocompra" localSheetId="12">#REF!</definedName>
    <definedName name="Eurocompra" localSheetId="0">#REF!</definedName>
    <definedName name="Eurocompra" localSheetId="14">#REF!</definedName>
    <definedName name="Eurocompra" localSheetId="9">#REF!</definedName>
    <definedName name="Eurocompra">#REF!</definedName>
    <definedName name="Eurovenda" localSheetId="1">#REF!</definedName>
    <definedName name="Eurovenda" localSheetId="12">#REF!</definedName>
    <definedName name="Eurovenda" localSheetId="0">#REF!</definedName>
    <definedName name="Eurovenda" localSheetId="14">#REF!</definedName>
    <definedName name="Eurovenda" localSheetId="9">#REF!</definedName>
    <definedName name="Eurovenda">#REF!</definedName>
    <definedName name="Excel_BuiltIn__FilterDatabase" localSheetId="18">'LINHAS - LEVANTAMENTO'!$A$7:$X$72</definedName>
    <definedName name="Excel_BuiltIn__FilterDatabase" localSheetId="4">'LINHAS anterior'!$A$6:$X$46</definedName>
    <definedName name="Excel_BuiltIn__FilterDatabase" localSheetId="9">'TUB. PU'!$D$7:$AG$113</definedName>
    <definedName name="Excel_BuiltIn_Print_Area" localSheetId="6">'EQUIPAMENTOS '!$A$1:$N$15</definedName>
    <definedName name="Excel_BuiltIn_Print_Area" localSheetId="18">'LINHAS - LEVANTAMENTO'!$A$1:$Y$74</definedName>
    <definedName name="Excel_BuiltIn_Print_Area" localSheetId="4">'LINHAS anterior'!$A$1:$X$48</definedName>
    <definedName name="Excel_BuiltIn_Print_Area" localSheetId="9">'TUB. PU'!$D$1:$AG$114</definedName>
    <definedName name="f_" localSheetId="11" hidden="1">{#N/A,#N/A,FALSE,"GERAL";#N/A,#N/A,FALSE,"012-96";#N/A,#N/A,FALSE,"018-96";#N/A,#N/A,FALSE,"027-96";#N/A,#N/A,FALSE,"059-96";#N/A,#N/A,FALSE,"076-96";#N/A,#N/A,FALSE,"019-97";#N/A,#N/A,FALSE,"021-97";#N/A,#N/A,FALSE,"022-97";#N/A,#N/A,FALSE,"028-97"}</definedName>
    <definedName name="f_" localSheetId="12" hidden="1">{#N/A,#N/A,FALSE,"GERAL";#N/A,#N/A,FALSE,"012-96";#N/A,#N/A,FALSE,"018-96";#N/A,#N/A,FALSE,"027-96";#N/A,#N/A,FALSE,"059-96";#N/A,#N/A,FALSE,"076-96";#N/A,#N/A,FALSE,"019-97";#N/A,#N/A,FALSE,"021-97";#N/A,#N/A,FALSE,"022-97";#N/A,#N/A,FALSE,"028-97"}</definedName>
    <definedName name="f_" localSheetId="14" hidden="1">{#N/A,#N/A,FALSE,"GERAL";#N/A,#N/A,FALSE,"012-96";#N/A,#N/A,FALSE,"018-96";#N/A,#N/A,FALSE,"027-96";#N/A,#N/A,FALSE,"059-96";#N/A,#N/A,FALSE,"076-96";#N/A,#N/A,FALSE,"019-97";#N/A,#N/A,FALSE,"021-97";#N/A,#N/A,FALSE,"022-97";#N/A,#N/A,FALSE,"028-97"}</definedName>
    <definedName name="f_" localSheetId="9" hidden="1">{#N/A,#N/A,FALSE,"GERAL";#N/A,#N/A,FALSE,"012-96";#N/A,#N/A,FALSE,"018-96";#N/A,#N/A,FALSE,"027-96";#N/A,#N/A,FALSE,"059-96";#N/A,#N/A,FALSE,"076-96";#N/A,#N/A,FALSE,"019-97";#N/A,#N/A,FALSE,"021-97";#N/A,#N/A,FALSE,"022-97";#N/A,#N/A,FALSE,"028-97"}</definedName>
    <definedName name="f_" hidden="1">{#N/A,#N/A,FALSE,"GERAL";#N/A,#N/A,FALSE,"012-96";#N/A,#N/A,FALSE,"018-96";#N/A,#N/A,FALSE,"027-96";#N/A,#N/A,FALSE,"059-96";#N/A,#N/A,FALSE,"076-96";#N/A,#N/A,FALSE,"019-97";#N/A,#N/A,FALSE,"021-97";#N/A,#N/A,FALSE,"022-97";#N/A,#N/A,FALSE,"028-97"}</definedName>
    <definedName name="fabio" localSheetId="11" hidden="1">{#N/A,#N/A,FALSE,"Cronograma";#N/A,#N/A,FALSE,"Cronogr. 2"}</definedName>
    <definedName name="fabio" localSheetId="12" hidden="1">{#N/A,#N/A,FALSE,"Cronograma";#N/A,#N/A,FALSE,"Cronogr. 2"}</definedName>
    <definedName name="fabio" localSheetId="14" hidden="1">{#N/A,#N/A,FALSE,"Cronograma";#N/A,#N/A,FALSE,"Cronogr. 2"}</definedName>
    <definedName name="fabio" localSheetId="9" hidden="1">{#N/A,#N/A,FALSE,"Cronograma";#N/A,#N/A,FALSE,"Cronogr. 2"}</definedName>
    <definedName name="fabio" hidden="1">{#N/A,#N/A,FALSE,"Cronograma";#N/A,#N/A,FALSE,"Cronogr. 2"}</definedName>
    <definedName name="Faturamento" localSheetId="1">#REF!</definedName>
    <definedName name="Faturamento" localSheetId="11">#REF!</definedName>
    <definedName name="Faturamento" localSheetId="7">#REF!</definedName>
    <definedName name="Faturamento" localSheetId="12">#REF!</definedName>
    <definedName name="Faturamento" localSheetId="0">#REF!</definedName>
    <definedName name="Faturamento" localSheetId="14">#REF!</definedName>
    <definedName name="Faturamento" localSheetId="9">#REF!</definedName>
    <definedName name="Faturamento">#REF!</definedName>
    <definedName name="fdaf" localSheetId="12">[24]FONTE!$B$132:$B$154</definedName>
    <definedName name="fdaf" localSheetId="14">[24]FONTE!$B$132:$B$154</definedName>
    <definedName name="fdaf" localSheetId="9">#REF!</definedName>
    <definedName name="fdaf">#REF!</definedName>
    <definedName name="FFFFF" localSheetId="11" hidden="1">{#N/A,#N/A,FALSE,"ET-CAPA";#N/A,#N/A,FALSE,"ET-PAG1";#N/A,#N/A,FALSE,"ET-PAG2";#N/A,#N/A,FALSE,"ET-PAG3";#N/A,#N/A,FALSE,"ET-PAG4";#N/A,#N/A,FALSE,"ET-PAG5"}</definedName>
    <definedName name="FFFFF" localSheetId="12" hidden="1">{#N/A,#N/A,FALSE,"ET-CAPA";#N/A,#N/A,FALSE,"ET-PAG1";#N/A,#N/A,FALSE,"ET-PAG2";#N/A,#N/A,FALSE,"ET-PAG3";#N/A,#N/A,FALSE,"ET-PAG4";#N/A,#N/A,FALSE,"ET-PAG5"}</definedName>
    <definedName name="FFFFF" localSheetId="14" hidden="1">{#N/A,#N/A,FALSE,"ET-CAPA";#N/A,#N/A,FALSE,"ET-PAG1";#N/A,#N/A,FALSE,"ET-PAG2";#N/A,#N/A,FALSE,"ET-PAG3";#N/A,#N/A,FALSE,"ET-PAG4";#N/A,#N/A,FALSE,"ET-PAG5"}</definedName>
    <definedName name="FFFFF" localSheetId="9" hidden="1">{#N/A,#N/A,FALSE,"ET-CAPA";#N/A,#N/A,FALSE,"ET-PAG1";#N/A,#N/A,FALSE,"ET-PAG2";#N/A,#N/A,FALSE,"ET-PAG3";#N/A,#N/A,FALSE,"ET-PAG4";#N/A,#N/A,FALSE,"ET-PAG5"}</definedName>
    <definedName name="FFFFF" hidden="1">{#N/A,#N/A,FALSE,"ET-CAPA";#N/A,#N/A,FALSE,"ET-PAG1";#N/A,#N/A,FALSE,"ET-PAG2";#N/A,#N/A,FALSE,"ET-PAG3";#N/A,#N/A,FALSE,"ET-PAG4";#N/A,#N/A,FALSE,"ET-PAG5"}</definedName>
    <definedName name="ffffffffffffffffffffffffffffff" localSheetId="11" hidden="1">{#N/A,#N/A,FALSE,"ET-CAPA";#N/A,#N/A,FALSE,"ET-PAG1";#N/A,#N/A,FALSE,"ET-PAG2";#N/A,#N/A,FALSE,"ET-PAG3";#N/A,#N/A,FALSE,"ET-PAG4";#N/A,#N/A,FALSE,"ET-PAG5"}</definedName>
    <definedName name="ffffffffffffffffffffffffffffff" localSheetId="12" hidden="1">{#N/A,#N/A,FALSE,"ET-CAPA";#N/A,#N/A,FALSE,"ET-PAG1";#N/A,#N/A,FALSE,"ET-PAG2";#N/A,#N/A,FALSE,"ET-PAG3";#N/A,#N/A,FALSE,"ET-PAG4";#N/A,#N/A,FALSE,"ET-PAG5"}</definedName>
    <definedName name="ffffffffffffffffffffffffffffff" localSheetId="14" hidden="1">{#N/A,#N/A,FALSE,"ET-CAPA";#N/A,#N/A,FALSE,"ET-PAG1";#N/A,#N/A,FALSE,"ET-PAG2";#N/A,#N/A,FALSE,"ET-PAG3";#N/A,#N/A,FALSE,"ET-PAG4";#N/A,#N/A,FALSE,"ET-PAG5"}</definedName>
    <definedName name="ffffffffffffffffffffffffffffff" localSheetId="9" hidden="1">{#N/A,#N/A,FALSE,"ET-CAPA";#N/A,#N/A,FALSE,"ET-PAG1";#N/A,#N/A,FALSE,"ET-PAG2";#N/A,#N/A,FALSE,"ET-PAG3";#N/A,#N/A,FALSE,"ET-PAG4";#N/A,#N/A,FALSE,"ET-PAG5"}</definedName>
    <definedName name="ffffffffffffffffffffffffffffff" hidden="1">{#N/A,#N/A,FALSE,"ET-CAPA";#N/A,#N/A,FALSE,"ET-PAG1";#N/A,#N/A,FALSE,"ET-PAG2";#N/A,#N/A,FALSE,"ET-PAG3";#N/A,#N/A,FALSE,"ET-PAG4";#N/A,#N/A,FALSE,"ET-PAG5"}</definedName>
    <definedName name="FGGD" localSheetId="1">#REF!</definedName>
    <definedName name="FGGD" localSheetId="11">#REF!</definedName>
    <definedName name="FGGD" localSheetId="7">#REF!</definedName>
    <definedName name="FGGD" localSheetId="12">#REF!</definedName>
    <definedName name="FGGD" localSheetId="0">#REF!</definedName>
    <definedName name="FGGD" localSheetId="14">#REF!</definedName>
    <definedName name="FGGD" localSheetId="9">#REF!</definedName>
    <definedName name="FGGD">#REF!</definedName>
    <definedName name="FGSD" localSheetId="11" hidden="1">{#N/A,#N/A,FALSE,"ET-CAPA";#N/A,#N/A,FALSE,"ET-PAG1";#N/A,#N/A,FALSE,"ET-PAG2";#N/A,#N/A,FALSE,"ET-PAG3";#N/A,#N/A,FALSE,"ET-PAG4";#N/A,#N/A,FALSE,"ET-PAG5"}</definedName>
    <definedName name="FGSD" localSheetId="12" hidden="1">{#N/A,#N/A,FALSE,"ET-CAPA";#N/A,#N/A,FALSE,"ET-PAG1";#N/A,#N/A,FALSE,"ET-PAG2";#N/A,#N/A,FALSE,"ET-PAG3";#N/A,#N/A,FALSE,"ET-PAG4";#N/A,#N/A,FALSE,"ET-PAG5"}</definedName>
    <definedName name="FGSD" localSheetId="14" hidden="1">{#N/A,#N/A,FALSE,"ET-CAPA";#N/A,#N/A,FALSE,"ET-PAG1";#N/A,#N/A,FALSE,"ET-PAG2";#N/A,#N/A,FALSE,"ET-PAG3";#N/A,#N/A,FALSE,"ET-PAG4";#N/A,#N/A,FALSE,"ET-PAG5"}</definedName>
    <definedName name="FGSD" localSheetId="9" hidden="1">{#N/A,#N/A,FALSE,"ET-CAPA";#N/A,#N/A,FALSE,"ET-PAG1";#N/A,#N/A,FALSE,"ET-PAG2";#N/A,#N/A,FALSE,"ET-PAG3";#N/A,#N/A,FALSE,"ET-PAG4";#N/A,#N/A,FALSE,"ET-PAG5"}</definedName>
    <definedName name="FGSD" hidden="1">{#N/A,#N/A,FALSE,"ET-CAPA";#N/A,#N/A,FALSE,"ET-PAG1";#N/A,#N/A,FALSE,"ET-PAG2";#N/A,#N/A,FALSE,"ET-PAG3";#N/A,#N/A,FALSE,"ET-PAG4";#N/A,#N/A,FALSE,"ET-PAG5"}</definedName>
    <definedName name="fill" localSheetId="12" hidden="1">#REF!</definedName>
    <definedName name="fill" localSheetId="14" hidden="1">#REF!</definedName>
    <definedName name="fill" localSheetId="9" hidden="1">#REF!</definedName>
    <definedName name="fill" hidden="1">#REF!</definedName>
    <definedName name="Fill_" localSheetId="12" hidden="1">#REF!</definedName>
    <definedName name="Fill_" localSheetId="14" hidden="1">#REF!</definedName>
    <definedName name="Fill_" localSheetId="9" hidden="1">#REF!</definedName>
    <definedName name="Fill_" hidden="1">#REF!</definedName>
    <definedName name="FISCALIZAÇÃO" localSheetId="12">#REF!</definedName>
    <definedName name="FISCALIZAÇÃO" localSheetId="14">#REF!</definedName>
    <definedName name="FISCALIZAÇÃO" localSheetId="9">#REF!</definedName>
    <definedName name="FISCALIZAÇÃO">#REF!</definedName>
    <definedName name="gg" localSheetId="11" hidden="1">{#N/A,#N/A,FALSE,"ET-CAPA";#N/A,#N/A,FALSE,"ET-PAG1";#N/A,#N/A,FALSE,"ET-PAG2";#N/A,#N/A,FALSE,"ET-PAG3";#N/A,#N/A,FALSE,"ET-PAG4";#N/A,#N/A,FALSE,"ET-PAG5"}</definedName>
    <definedName name="gg" localSheetId="12" hidden="1">{#N/A,#N/A,FALSE,"ET-CAPA";#N/A,#N/A,FALSE,"ET-PAG1";#N/A,#N/A,FALSE,"ET-PAG2";#N/A,#N/A,FALSE,"ET-PAG3";#N/A,#N/A,FALSE,"ET-PAG4";#N/A,#N/A,FALSE,"ET-PAG5"}</definedName>
    <definedName name="gg" localSheetId="14" hidden="1">{#N/A,#N/A,FALSE,"ET-CAPA";#N/A,#N/A,FALSE,"ET-PAG1";#N/A,#N/A,FALSE,"ET-PAG2";#N/A,#N/A,FALSE,"ET-PAG3";#N/A,#N/A,FALSE,"ET-PAG4";#N/A,#N/A,FALSE,"ET-PAG5"}</definedName>
    <definedName name="gg" localSheetId="9" hidden="1">{#N/A,#N/A,FALSE,"ET-CAPA";#N/A,#N/A,FALSE,"ET-PAG1";#N/A,#N/A,FALSE,"ET-PAG2";#N/A,#N/A,FALSE,"ET-PAG3";#N/A,#N/A,FALSE,"ET-PAG4";#N/A,#N/A,FALSE,"ET-PAG5"}</definedName>
    <definedName name="gg" hidden="1">{#N/A,#N/A,FALSE,"ET-CAPA";#N/A,#N/A,FALSE,"ET-PAG1";#N/A,#N/A,FALSE,"ET-PAG2";#N/A,#N/A,FALSE,"ET-PAG3";#N/A,#N/A,FALSE,"ET-PAG4";#N/A,#N/A,FALSE,"ET-PAG5"}</definedName>
    <definedName name="gggg" localSheetId="11" hidden="1">{#N/A,#N/A,FALSE,"ET-CAPA";#N/A,#N/A,FALSE,"ET-PAG1";#N/A,#N/A,FALSE,"ET-PAG2";#N/A,#N/A,FALSE,"ET-PAG3";#N/A,#N/A,FALSE,"ET-PAG4";#N/A,#N/A,FALSE,"ET-PAG5"}</definedName>
    <definedName name="gggg" localSheetId="12" hidden="1">{#N/A,#N/A,FALSE,"ET-CAPA";#N/A,#N/A,FALSE,"ET-PAG1";#N/A,#N/A,FALSE,"ET-PAG2";#N/A,#N/A,FALSE,"ET-PAG3";#N/A,#N/A,FALSE,"ET-PAG4";#N/A,#N/A,FALSE,"ET-PAG5"}</definedName>
    <definedName name="gggg" localSheetId="14" hidden="1">{#N/A,#N/A,FALSE,"ET-CAPA";#N/A,#N/A,FALSE,"ET-PAG1";#N/A,#N/A,FALSE,"ET-PAG2";#N/A,#N/A,FALSE,"ET-PAG3";#N/A,#N/A,FALSE,"ET-PAG4";#N/A,#N/A,FALSE,"ET-PAG5"}</definedName>
    <definedName name="gggg" localSheetId="9" hidden="1">{#N/A,#N/A,FALSE,"ET-CAPA";#N/A,#N/A,FALSE,"ET-PAG1";#N/A,#N/A,FALSE,"ET-PAG2";#N/A,#N/A,FALSE,"ET-PAG3";#N/A,#N/A,FALSE,"ET-PAG4";#N/A,#N/A,FALSE,"ET-PAG5"}</definedName>
    <definedName name="gggg" hidden="1">{#N/A,#N/A,FALSE,"ET-CAPA";#N/A,#N/A,FALSE,"ET-PAG1";#N/A,#N/A,FALSE,"ET-PAG2";#N/A,#N/A,FALSE,"ET-PAG3";#N/A,#N/A,FALSE,"ET-PAG4";#N/A,#N/A,FALSE,"ET-PAG5"}</definedName>
    <definedName name="greal" localSheetId="11" hidden="1">{#N/A,#N/A,FALSE,"ET-CAPA";#N/A,#N/A,FALSE,"ET-PAG1";#N/A,#N/A,FALSE,"ET-PAG2";#N/A,#N/A,FALSE,"ET-PAG3";#N/A,#N/A,FALSE,"ET-PAG4";#N/A,#N/A,FALSE,"ET-PAG5"}</definedName>
    <definedName name="greal" localSheetId="12" hidden="1">{#N/A,#N/A,FALSE,"ET-CAPA";#N/A,#N/A,FALSE,"ET-PAG1";#N/A,#N/A,FALSE,"ET-PAG2";#N/A,#N/A,FALSE,"ET-PAG3";#N/A,#N/A,FALSE,"ET-PAG4";#N/A,#N/A,FALSE,"ET-PAG5"}</definedName>
    <definedName name="greal" localSheetId="14" hidden="1">{#N/A,#N/A,FALSE,"ET-CAPA";#N/A,#N/A,FALSE,"ET-PAG1";#N/A,#N/A,FALSE,"ET-PAG2";#N/A,#N/A,FALSE,"ET-PAG3";#N/A,#N/A,FALSE,"ET-PAG4";#N/A,#N/A,FALSE,"ET-PAG5"}</definedName>
    <definedName name="greal" localSheetId="9" hidden="1">{#N/A,#N/A,FALSE,"ET-CAPA";#N/A,#N/A,FALSE,"ET-PAG1";#N/A,#N/A,FALSE,"ET-PAG2";#N/A,#N/A,FALSE,"ET-PAG3";#N/A,#N/A,FALSE,"ET-PAG4";#N/A,#N/A,FALSE,"ET-PAG5"}</definedName>
    <definedName name="greal" hidden="1">{#N/A,#N/A,FALSE,"ET-CAPA";#N/A,#N/A,FALSE,"ET-PAG1";#N/A,#N/A,FALSE,"ET-PAG2";#N/A,#N/A,FALSE,"ET-PAG3";#N/A,#N/A,FALSE,"ET-PAG4";#N/A,#N/A,FALSE,"ET-PAG5"}</definedName>
    <definedName name="GRTE" localSheetId="11" hidden="1">{#N/A,#N/A,FALSE,"ET-CAPA";#N/A,#N/A,FALSE,"ET-PAG1";#N/A,#N/A,FALSE,"ET-PAG2";#N/A,#N/A,FALSE,"ET-PAG3";#N/A,#N/A,FALSE,"ET-PAG4";#N/A,#N/A,FALSE,"ET-PAG5"}</definedName>
    <definedName name="GRTE" localSheetId="12" hidden="1">{#N/A,#N/A,FALSE,"ET-CAPA";#N/A,#N/A,FALSE,"ET-PAG1";#N/A,#N/A,FALSE,"ET-PAG2";#N/A,#N/A,FALSE,"ET-PAG3";#N/A,#N/A,FALSE,"ET-PAG4";#N/A,#N/A,FALSE,"ET-PAG5"}</definedName>
    <definedName name="GRTE" localSheetId="14" hidden="1">{#N/A,#N/A,FALSE,"ET-CAPA";#N/A,#N/A,FALSE,"ET-PAG1";#N/A,#N/A,FALSE,"ET-PAG2";#N/A,#N/A,FALSE,"ET-PAG3";#N/A,#N/A,FALSE,"ET-PAG4";#N/A,#N/A,FALSE,"ET-PAG5"}</definedName>
    <definedName name="GRTE" localSheetId="9" hidden="1">{#N/A,#N/A,FALSE,"ET-CAPA";#N/A,#N/A,FALSE,"ET-PAG1";#N/A,#N/A,FALSE,"ET-PAG2";#N/A,#N/A,FALSE,"ET-PAG3";#N/A,#N/A,FALSE,"ET-PAG4";#N/A,#N/A,FALSE,"ET-PAG5"}</definedName>
    <definedName name="GRTE" hidden="1">{#N/A,#N/A,FALSE,"ET-CAPA";#N/A,#N/A,FALSE,"ET-PAG1";#N/A,#N/A,FALSE,"ET-PAG2";#N/A,#N/A,FALSE,"ET-PAG3";#N/A,#N/A,FALSE,"ET-PAG4";#N/A,#N/A,FALSE,"ET-PAG5"}</definedName>
    <definedName name="h" localSheetId="11" hidden="1">{#N/A,#N/A,FALSE,"ET-CAPA";#N/A,#N/A,FALSE,"ET-PAG1";#N/A,#N/A,FALSE,"ET-PAG2";#N/A,#N/A,FALSE,"ET-PAG3";#N/A,#N/A,FALSE,"ET-PAG4";#N/A,#N/A,FALSE,"ET-PAG5"}</definedName>
    <definedName name="h" localSheetId="12" hidden="1">{#N/A,#N/A,FALSE,"ET-CAPA";#N/A,#N/A,FALSE,"ET-PAG1";#N/A,#N/A,FALSE,"ET-PAG2";#N/A,#N/A,FALSE,"ET-PAG3";#N/A,#N/A,FALSE,"ET-PAG4";#N/A,#N/A,FALSE,"ET-PAG5"}</definedName>
    <definedName name="h" localSheetId="14" hidden="1">{#N/A,#N/A,FALSE,"ET-CAPA";#N/A,#N/A,FALSE,"ET-PAG1";#N/A,#N/A,FALSE,"ET-PAG2";#N/A,#N/A,FALSE,"ET-PAG3";#N/A,#N/A,FALSE,"ET-PAG4";#N/A,#N/A,FALSE,"ET-PAG5"}</definedName>
    <definedName name="h" localSheetId="9" hidden="1">{#N/A,#N/A,FALSE,"ET-CAPA";#N/A,#N/A,FALSE,"ET-PAG1";#N/A,#N/A,FALSE,"ET-PAG2";#N/A,#N/A,FALSE,"ET-PAG3";#N/A,#N/A,FALSE,"ET-PAG4";#N/A,#N/A,FALSE,"ET-PAG5"}</definedName>
    <definedName name="h" hidden="1">{#N/A,#N/A,FALSE,"ET-CAPA";#N/A,#N/A,FALSE,"ET-PAG1";#N/A,#N/A,FALSE,"ET-PAG2";#N/A,#N/A,FALSE,"ET-PAG3";#N/A,#N/A,FALSE,"ET-PAG4";#N/A,#N/A,FALSE,"ET-PAG5"}</definedName>
    <definedName name="HHH" localSheetId="11" hidden="1">{#N/A,#N/A,FALSE,"ET-CAPA";#N/A,#N/A,FALSE,"ET-PAG1";#N/A,#N/A,FALSE,"ET-PAG2";#N/A,#N/A,FALSE,"ET-PAG3";#N/A,#N/A,FALSE,"ET-PAG4";#N/A,#N/A,FALSE,"ET-PAG5"}</definedName>
    <definedName name="HHH" localSheetId="12" hidden="1">{#N/A,#N/A,FALSE,"ET-CAPA";#N/A,#N/A,FALSE,"ET-PAG1";#N/A,#N/A,FALSE,"ET-PAG2";#N/A,#N/A,FALSE,"ET-PAG3";#N/A,#N/A,FALSE,"ET-PAG4";#N/A,#N/A,FALSE,"ET-PAG5"}</definedName>
    <definedName name="HHH" localSheetId="14" hidden="1">{#N/A,#N/A,FALSE,"ET-CAPA";#N/A,#N/A,FALSE,"ET-PAG1";#N/A,#N/A,FALSE,"ET-PAG2";#N/A,#N/A,FALSE,"ET-PAG3";#N/A,#N/A,FALSE,"ET-PAG4";#N/A,#N/A,FALSE,"ET-PAG5"}</definedName>
    <definedName name="HHH" localSheetId="9" hidden="1">{#N/A,#N/A,FALSE,"ET-CAPA";#N/A,#N/A,FALSE,"ET-PAG1";#N/A,#N/A,FALSE,"ET-PAG2";#N/A,#N/A,FALSE,"ET-PAG3";#N/A,#N/A,FALSE,"ET-PAG4";#N/A,#N/A,FALSE,"ET-PAG5"}</definedName>
    <definedName name="HHH" hidden="1">{#N/A,#N/A,FALSE,"ET-CAPA";#N/A,#N/A,FALSE,"ET-PAG1";#N/A,#N/A,FALSE,"ET-PAG2";#N/A,#N/A,FALSE,"ET-PAG3";#N/A,#N/A,FALSE,"ET-PAG4";#N/A,#N/A,FALSE,"ET-PAG5"}</definedName>
    <definedName name="huhidgbiop" localSheetId="1">#REF!</definedName>
    <definedName name="huhidgbiop" localSheetId="11">#REF!</definedName>
    <definedName name="huhidgbiop" localSheetId="7">#REF!</definedName>
    <definedName name="huhidgbiop" localSheetId="12">#REF!</definedName>
    <definedName name="huhidgbiop" localSheetId="0">#REF!</definedName>
    <definedName name="huhidgbiop" localSheetId="14">#REF!</definedName>
    <definedName name="huhidgbiop" localSheetId="9">#REF!</definedName>
    <definedName name="huhidgbiop">#REF!</definedName>
    <definedName name="Inad" hidden="1">49</definedName>
    <definedName name="ISISISIS" localSheetId="11" hidden="1">{#N/A,#N/A,FALSE,"ET-CAPA";#N/A,#N/A,FALSE,"ET-PAG1";#N/A,#N/A,FALSE,"ET-PAG2";#N/A,#N/A,FALSE,"ET-PAG3";#N/A,#N/A,FALSE,"ET-PAG4";#N/A,#N/A,FALSE,"ET-PAG5"}</definedName>
    <definedName name="ISISISIS" localSheetId="12" hidden="1">{#N/A,#N/A,FALSE,"ET-CAPA";#N/A,#N/A,FALSE,"ET-PAG1";#N/A,#N/A,FALSE,"ET-PAG2";#N/A,#N/A,FALSE,"ET-PAG3";#N/A,#N/A,FALSE,"ET-PAG4";#N/A,#N/A,FALSE,"ET-PAG5"}</definedName>
    <definedName name="ISISISIS" localSheetId="14" hidden="1">{#N/A,#N/A,FALSE,"ET-CAPA";#N/A,#N/A,FALSE,"ET-PAG1";#N/A,#N/A,FALSE,"ET-PAG2";#N/A,#N/A,FALSE,"ET-PAG3";#N/A,#N/A,FALSE,"ET-PAG4";#N/A,#N/A,FALSE,"ET-PAG5"}</definedName>
    <definedName name="ISISISIS" localSheetId="9" hidden="1">{#N/A,#N/A,FALSE,"ET-CAPA";#N/A,#N/A,FALSE,"ET-PAG1";#N/A,#N/A,FALSE,"ET-PAG2";#N/A,#N/A,FALSE,"ET-PAG3";#N/A,#N/A,FALSE,"ET-PAG4";#N/A,#N/A,FALSE,"ET-PAG5"}</definedName>
    <definedName name="ISISISIS" hidden="1">{#N/A,#N/A,FALSE,"ET-CAPA";#N/A,#N/A,FALSE,"ET-PAG1";#N/A,#N/A,FALSE,"ET-PAG2";#N/A,#N/A,FALSE,"ET-PAG3";#N/A,#N/A,FALSE,"ET-PAG4";#N/A,#N/A,FALSE,"ET-PAG5"}</definedName>
    <definedName name="isol" localSheetId="1">#REF!</definedName>
    <definedName name="isol" localSheetId="7">#REF!</definedName>
    <definedName name="isol" localSheetId="12">[2]Resumo!#REF!</definedName>
    <definedName name="isol" localSheetId="0">#REF!</definedName>
    <definedName name="isol" localSheetId="14">[2]Resumo!#REF!</definedName>
    <definedName name="isol" localSheetId="9">#REF!</definedName>
    <definedName name="isol">#REF!</definedName>
    <definedName name="Jan" localSheetId="11" hidden="1">{#N/A,#N/A,FALSE,"FATURAM";#N/A,#N/A,FALSE,"PrVnd"}</definedName>
    <definedName name="Jan" localSheetId="12" hidden="1">{#N/A,#N/A,FALSE,"FATURAM";#N/A,#N/A,FALSE,"PrVnd"}</definedName>
    <definedName name="Jan" localSheetId="14" hidden="1">{#N/A,#N/A,FALSE,"FATURAM";#N/A,#N/A,FALSE,"PrVnd"}</definedName>
    <definedName name="Jan" localSheetId="9" hidden="1">{#N/A,#N/A,FALSE,"FATURAM";#N/A,#N/A,FALSE,"PrVnd"}</definedName>
    <definedName name="Jan" hidden="1">{#N/A,#N/A,FALSE,"FATURAM";#N/A,#N/A,FALSE,"PrVnd"}</definedName>
    <definedName name="JHJKHJ" localSheetId="1">#REF!</definedName>
    <definedName name="JHJKHJ" localSheetId="11">#REF!</definedName>
    <definedName name="JHJKHJ" localSheetId="7">#REF!</definedName>
    <definedName name="JHJKHJ" localSheetId="12">#REF!</definedName>
    <definedName name="JHJKHJ" localSheetId="0">#REF!</definedName>
    <definedName name="JHJKHJ" localSheetId="14">#REF!</definedName>
    <definedName name="JHJKHJ" localSheetId="9">#REF!</definedName>
    <definedName name="JHJKHJ">#REF!</definedName>
    <definedName name="jhkjkllj" localSheetId="1">#REF!</definedName>
    <definedName name="jhkjkllj" localSheetId="12">#REF!</definedName>
    <definedName name="jhkjkllj" localSheetId="0">#REF!</definedName>
    <definedName name="jhkjkllj" localSheetId="14">#REF!</definedName>
    <definedName name="jhkjkllj" localSheetId="9">#REF!</definedName>
    <definedName name="jhkjkllj">#REF!</definedName>
    <definedName name="JIK" localSheetId="1">#REF!</definedName>
    <definedName name="JIK" localSheetId="12">#REF!</definedName>
    <definedName name="JIK" localSheetId="0">#REF!</definedName>
    <definedName name="JIK" localSheetId="14">#REF!</definedName>
    <definedName name="JIK" localSheetId="9">#REF!</definedName>
    <definedName name="JIK">#REF!</definedName>
    <definedName name="jnjni" localSheetId="11" hidden="1">{#N/A,#N/A,FALSE,"ET-CAPA";#N/A,#N/A,FALSE,"ET-PAG1";#N/A,#N/A,FALSE,"ET-PAG2";#N/A,#N/A,FALSE,"ET-PAG3";#N/A,#N/A,FALSE,"ET-PAG4";#N/A,#N/A,FALSE,"ET-PAG5"}</definedName>
    <definedName name="jnjni" localSheetId="12" hidden="1">{#N/A,#N/A,FALSE,"ET-CAPA";#N/A,#N/A,FALSE,"ET-PAG1";#N/A,#N/A,FALSE,"ET-PAG2";#N/A,#N/A,FALSE,"ET-PAG3";#N/A,#N/A,FALSE,"ET-PAG4";#N/A,#N/A,FALSE,"ET-PAG5"}</definedName>
    <definedName name="jnjni" localSheetId="14" hidden="1">{#N/A,#N/A,FALSE,"ET-CAPA";#N/A,#N/A,FALSE,"ET-PAG1";#N/A,#N/A,FALSE,"ET-PAG2";#N/A,#N/A,FALSE,"ET-PAG3";#N/A,#N/A,FALSE,"ET-PAG4";#N/A,#N/A,FALSE,"ET-PAG5"}</definedName>
    <definedName name="jnjni" localSheetId="9" hidden="1">{#N/A,#N/A,FALSE,"ET-CAPA";#N/A,#N/A,FALSE,"ET-PAG1";#N/A,#N/A,FALSE,"ET-PAG2";#N/A,#N/A,FALSE,"ET-PAG3";#N/A,#N/A,FALSE,"ET-PAG4";#N/A,#N/A,FALSE,"ET-PAG5"}</definedName>
    <definedName name="jnjni" hidden="1">{#N/A,#N/A,FALSE,"ET-CAPA";#N/A,#N/A,FALSE,"ET-PAG1";#N/A,#N/A,FALSE,"ET-PAG2";#N/A,#N/A,FALSE,"ET-PAG3";#N/A,#N/A,FALSE,"ET-PAG4";#N/A,#N/A,FALSE,"ET-PAG5"}</definedName>
    <definedName name="JONAS" localSheetId="1">#REF!</definedName>
    <definedName name="JONAS" localSheetId="11">#REF!</definedName>
    <definedName name="JONAS" localSheetId="7">#REF!</definedName>
    <definedName name="JONAS" localSheetId="12">#REF!</definedName>
    <definedName name="JONAS" localSheetId="0">#REF!</definedName>
    <definedName name="JONAS" localSheetId="14">#REF!</definedName>
    <definedName name="JONAS" localSheetId="9">#REF!</definedName>
    <definedName name="JONAS">#REF!</definedName>
    <definedName name="jose" localSheetId="11" hidden="1">{#N/A,#N/A,FALSE,"ET-CAPA";#N/A,#N/A,FALSE,"ET-PAG1";#N/A,#N/A,FALSE,"ET-PAG2";#N/A,#N/A,FALSE,"ET-PAG3";#N/A,#N/A,FALSE,"ET-PAG4";#N/A,#N/A,FALSE,"ET-PAG5"}</definedName>
    <definedName name="jose" localSheetId="12" hidden="1">{#N/A,#N/A,FALSE,"ET-CAPA";#N/A,#N/A,FALSE,"ET-PAG1";#N/A,#N/A,FALSE,"ET-PAG2";#N/A,#N/A,FALSE,"ET-PAG3";#N/A,#N/A,FALSE,"ET-PAG4";#N/A,#N/A,FALSE,"ET-PAG5"}</definedName>
    <definedName name="jose" localSheetId="14" hidden="1">{#N/A,#N/A,FALSE,"ET-CAPA";#N/A,#N/A,FALSE,"ET-PAG1";#N/A,#N/A,FALSE,"ET-PAG2";#N/A,#N/A,FALSE,"ET-PAG3";#N/A,#N/A,FALSE,"ET-PAG4";#N/A,#N/A,FALSE,"ET-PAG5"}</definedName>
    <definedName name="jose" localSheetId="9" hidden="1">{#N/A,#N/A,FALSE,"ET-CAPA";#N/A,#N/A,FALSE,"ET-PAG1";#N/A,#N/A,FALSE,"ET-PAG2";#N/A,#N/A,FALSE,"ET-PAG3";#N/A,#N/A,FALSE,"ET-PAG4";#N/A,#N/A,FALSE,"ET-PAG5"}</definedName>
    <definedName name="jose" hidden="1">{#N/A,#N/A,FALSE,"ET-CAPA";#N/A,#N/A,FALSE,"ET-PAG1";#N/A,#N/A,FALSE,"ET-PAG2";#N/A,#N/A,FALSE,"ET-PAG3";#N/A,#N/A,FALSE,"ET-PAG4";#N/A,#N/A,FALSE,"ET-PAG5"}</definedName>
    <definedName name="joseinf" localSheetId="11" hidden="1">{#N/A,#N/A,FALSE,"ET-CAPA";#N/A,#N/A,FALSE,"ET-PAG1";#N/A,#N/A,FALSE,"ET-PAG2";#N/A,#N/A,FALSE,"ET-PAG3";#N/A,#N/A,FALSE,"ET-PAG4";#N/A,#N/A,FALSE,"ET-PAG5"}</definedName>
    <definedName name="joseinf" localSheetId="12" hidden="1">{#N/A,#N/A,FALSE,"ET-CAPA";#N/A,#N/A,FALSE,"ET-PAG1";#N/A,#N/A,FALSE,"ET-PAG2";#N/A,#N/A,FALSE,"ET-PAG3";#N/A,#N/A,FALSE,"ET-PAG4";#N/A,#N/A,FALSE,"ET-PAG5"}</definedName>
    <definedName name="joseinf" localSheetId="14" hidden="1">{#N/A,#N/A,FALSE,"ET-CAPA";#N/A,#N/A,FALSE,"ET-PAG1";#N/A,#N/A,FALSE,"ET-PAG2";#N/A,#N/A,FALSE,"ET-PAG3";#N/A,#N/A,FALSE,"ET-PAG4";#N/A,#N/A,FALSE,"ET-PAG5"}</definedName>
    <definedName name="joseinf" localSheetId="9" hidden="1">{#N/A,#N/A,FALSE,"ET-CAPA";#N/A,#N/A,FALSE,"ET-PAG1";#N/A,#N/A,FALSE,"ET-PAG2";#N/A,#N/A,FALSE,"ET-PAG3";#N/A,#N/A,FALSE,"ET-PAG4";#N/A,#N/A,FALSE,"ET-PAG5"}</definedName>
    <definedName name="joseinf" hidden="1">{#N/A,#N/A,FALSE,"ET-CAPA";#N/A,#N/A,FALSE,"ET-PAG1";#N/A,#N/A,FALSE,"ET-PAG2";#N/A,#N/A,FALSE,"ET-PAG3";#N/A,#N/A,FALSE,"ET-PAG4";#N/A,#N/A,FALSE,"ET-PAG5"}</definedName>
    <definedName name="JSJS" localSheetId="11" hidden="1">{#N/A,#N/A,FALSE,"ET-CAPA";#N/A,#N/A,FALSE,"ET-PAG1";#N/A,#N/A,FALSE,"ET-PAG2";#N/A,#N/A,FALSE,"ET-PAG3";#N/A,#N/A,FALSE,"ET-PAG4";#N/A,#N/A,FALSE,"ET-PAG5"}</definedName>
    <definedName name="JSJS" localSheetId="12" hidden="1">{#N/A,#N/A,FALSE,"ET-CAPA";#N/A,#N/A,FALSE,"ET-PAG1";#N/A,#N/A,FALSE,"ET-PAG2";#N/A,#N/A,FALSE,"ET-PAG3";#N/A,#N/A,FALSE,"ET-PAG4";#N/A,#N/A,FALSE,"ET-PAG5"}</definedName>
    <definedName name="JSJS" localSheetId="14" hidden="1">{#N/A,#N/A,FALSE,"ET-CAPA";#N/A,#N/A,FALSE,"ET-PAG1";#N/A,#N/A,FALSE,"ET-PAG2";#N/A,#N/A,FALSE,"ET-PAG3";#N/A,#N/A,FALSE,"ET-PAG4";#N/A,#N/A,FALSE,"ET-PAG5"}</definedName>
    <definedName name="JSJS" localSheetId="9" hidden="1">{#N/A,#N/A,FALSE,"ET-CAPA";#N/A,#N/A,FALSE,"ET-PAG1";#N/A,#N/A,FALSE,"ET-PAG2";#N/A,#N/A,FALSE,"ET-PAG3";#N/A,#N/A,FALSE,"ET-PAG4";#N/A,#N/A,FALSE,"ET-PAG5"}</definedName>
    <definedName name="JSJS" hidden="1">{#N/A,#N/A,FALSE,"ET-CAPA";#N/A,#N/A,FALSE,"ET-PAG1";#N/A,#N/A,FALSE,"ET-PAG2";#N/A,#N/A,FALSE,"ET-PAG3";#N/A,#N/A,FALSE,"ET-PAG4";#N/A,#N/A,FALSE,"ET-PAG5"}</definedName>
    <definedName name="jugbk" localSheetId="1">#REF!</definedName>
    <definedName name="jugbk" localSheetId="11">#REF!</definedName>
    <definedName name="jugbk" localSheetId="7">#REF!</definedName>
    <definedName name="jugbk" localSheetId="12">#REF!</definedName>
    <definedName name="jugbk" localSheetId="0">#REF!</definedName>
    <definedName name="jugbk" localSheetId="14">#REF!</definedName>
    <definedName name="jugbk" localSheetId="9">#REF!</definedName>
    <definedName name="jugbk">#REF!</definedName>
    <definedName name="juhko">#N/A</definedName>
    <definedName name="llp" localSheetId="12">'[10]13. Ceilings'!$B$4:$B$66</definedName>
    <definedName name="llp" localSheetId="14">'[10]13. Ceilings'!$B$4:$B$66</definedName>
    <definedName name="llp" localSheetId="9">#REF!</definedName>
    <definedName name="llp">#REF!</definedName>
    <definedName name="luciano" localSheetId="11" hidden="1">{#N/A,#N/A,FALSE,"ET-CAPA";#N/A,#N/A,FALSE,"ET-PAG1";#N/A,#N/A,FALSE,"ET-PAG2";#N/A,#N/A,FALSE,"ET-PAG3";#N/A,#N/A,FALSE,"ET-PAG4";#N/A,#N/A,FALSE,"ET-PAG5"}</definedName>
    <definedName name="luciano" localSheetId="12" hidden="1">{#N/A,#N/A,FALSE,"ET-CAPA";#N/A,#N/A,FALSE,"ET-PAG1";#N/A,#N/A,FALSE,"ET-PAG2";#N/A,#N/A,FALSE,"ET-PAG3";#N/A,#N/A,FALSE,"ET-PAG4";#N/A,#N/A,FALSE,"ET-PAG5"}</definedName>
    <definedName name="luciano" localSheetId="14" hidden="1">{#N/A,#N/A,FALSE,"ET-CAPA";#N/A,#N/A,FALSE,"ET-PAG1";#N/A,#N/A,FALSE,"ET-PAG2";#N/A,#N/A,FALSE,"ET-PAG3";#N/A,#N/A,FALSE,"ET-PAG4";#N/A,#N/A,FALSE,"ET-PAG5"}</definedName>
    <definedName name="luciano" localSheetId="9" hidden="1">{#N/A,#N/A,FALSE,"ET-CAPA";#N/A,#N/A,FALSE,"ET-PAG1";#N/A,#N/A,FALSE,"ET-PAG2";#N/A,#N/A,FALSE,"ET-PAG3";#N/A,#N/A,FALSE,"ET-PAG4";#N/A,#N/A,FALSE,"ET-PAG5"}</definedName>
    <definedName name="luciano" hidden="1">{#N/A,#N/A,FALSE,"ET-CAPA";#N/A,#N/A,FALSE,"ET-PAG1";#N/A,#N/A,FALSE,"ET-PAG2";#N/A,#N/A,FALSE,"ET-PAG3";#N/A,#N/A,FALSE,"ET-PAG4";#N/A,#N/A,FALSE,"ET-PAG5"}</definedName>
    <definedName name="mam" localSheetId="1">#REF!</definedName>
    <definedName name="mam" localSheetId="7">#REF!</definedName>
    <definedName name="mam" localSheetId="12">[2]Resumo!$S$2:$V$8</definedName>
    <definedName name="mam" localSheetId="0">#REF!</definedName>
    <definedName name="mam" localSheetId="14">[2]Resumo!$S$2:$V$8</definedName>
    <definedName name="mam" localSheetId="9">#REF!</definedName>
    <definedName name="mam">#REF!</definedName>
    <definedName name="MAN" localSheetId="1">#REF!</definedName>
    <definedName name="MAN" localSheetId="7">#REF!</definedName>
    <definedName name="MAN" localSheetId="12">[2]Resumo!$S$2:$V$8</definedName>
    <definedName name="MAN" localSheetId="0">#REF!</definedName>
    <definedName name="MAN" localSheetId="14">[2]Resumo!$S$2:$V$8</definedName>
    <definedName name="MAN" localSheetId="9">#REF!</definedName>
    <definedName name="MAN">#REF!</definedName>
    <definedName name="mão" localSheetId="1">#REF!</definedName>
    <definedName name="mão" localSheetId="7">#REF!</definedName>
    <definedName name="mão" localSheetId="12">[2]Resumo!$X$21</definedName>
    <definedName name="mão" localSheetId="0">#REF!</definedName>
    <definedName name="mão" localSheetId="14">[2]Resumo!$X$21</definedName>
    <definedName name="mão" localSheetId="9">#REF!</definedName>
    <definedName name="mão">#REF!</definedName>
    <definedName name="mão1" localSheetId="1">#REF!</definedName>
    <definedName name="mão1" localSheetId="7">#REF!</definedName>
    <definedName name="mão1" localSheetId="12">[2]Resumo!$X$286</definedName>
    <definedName name="mão1" localSheetId="0">#REF!</definedName>
    <definedName name="mão1" localSheetId="14">[2]Resumo!$X$286</definedName>
    <definedName name="mão1" localSheetId="9">#REF!</definedName>
    <definedName name="mão1">#REF!</definedName>
    <definedName name="mATERIAL" localSheetId="11" hidden="1">{#N/A,#N/A,FALSE,"ET-CAPA";#N/A,#N/A,FALSE,"ET-PAG1";#N/A,#N/A,FALSE,"ET-PAG2";#N/A,#N/A,FALSE,"ET-PAG3";#N/A,#N/A,FALSE,"ET-PAG4";#N/A,#N/A,FALSE,"ET-PAG5"}</definedName>
    <definedName name="mATERIAL" localSheetId="12" hidden="1">{#N/A,#N/A,FALSE,"ET-CAPA";#N/A,#N/A,FALSE,"ET-PAG1";#N/A,#N/A,FALSE,"ET-PAG2";#N/A,#N/A,FALSE,"ET-PAG3";#N/A,#N/A,FALSE,"ET-PAG4";#N/A,#N/A,FALSE,"ET-PAG5"}</definedName>
    <definedName name="mATERIAL" localSheetId="14" hidden="1">{#N/A,#N/A,FALSE,"ET-CAPA";#N/A,#N/A,FALSE,"ET-PAG1";#N/A,#N/A,FALSE,"ET-PAG2";#N/A,#N/A,FALSE,"ET-PAG3";#N/A,#N/A,FALSE,"ET-PAG4";#N/A,#N/A,FALSE,"ET-PAG5"}</definedName>
    <definedName name="mATERIAL" localSheetId="9" hidden="1">{#N/A,#N/A,FALSE,"ET-CAPA";#N/A,#N/A,FALSE,"ET-PAG1";#N/A,#N/A,FALSE,"ET-PAG2";#N/A,#N/A,FALSE,"ET-PAG3";#N/A,#N/A,FALSE,"ET-PAG4";#N/A,#N/A,FALSE,"ET-PAG5"}</definedName>
    <definedName name="mATERIAL" hidden="1">{#N/A,#N/A,FALSE,"ET-CAPA";#N/A,#N/A,FALSE,"ET-PAG1";#N/A,#N/A,FALSE,"ET-PAG2";#N/A,#N/A,FALSE,"ET-PAG3";#N/A,#N/A,FALSE,"ET-PAG4";#N/A,#N/A,FALSE,"ET-PAG5"}</definedName>
    <definedName name="mmm" localSheetId="1">#REF!</definedName>
    <definedName name="mmm" localSheetId="7">#REF!</definedName>
    <definedName name="mmm" localSheetId="12">[2]Resumo!$S$2:$V$8</definedName>
    <definedName name="mmm" localSheetId="0">#REF!</definedName>
    <definedName name="mmm" localSheetId="14">[2]Resumo!$S$2:$V$8</definedName>
    <definedName name="mmm" localSheetId="9">#REF!</definedName>
    <definedName name="mmm">#REF!</definedName>
    <definedName name="mmmm" localSheetId="11" hidden="1">{#N/A,#N/A,FALSE,"ET-CAPA";#N/A,#N/A,FALSE,"ET-PAG1";#N/A,#N/A,FALSE,"ET-PAG2";#N/A,#N/A,FALSE,"ET-PAG3";#N/A,#N/A,FALSE,"ET-PAG4";#N/A,#N/A,FALSE,"ET-PAG5"}</definedName>
    <definedName name="mmmm" localSheetId="12" hidden="1">{#N/A,#N/A,FALSE,"ET-CAPA";#N/A,#N/A,FALSE,"ET-PAG1";#N/A,#N/A,FALSE,"ET-PAG2";#N/A,#N/A,FALSE,"ET-PAG3";#N/A,#N/A,FALSE,"ET-PAG4";#N/A,#N/A,FALSE,"ET-PAG5"}</definedName>
    <definedName name="mmmm" localSheetId="14" hidden="1">{#N/A,#N/A,FALSE,"ET-CAPA";#N/A,#N/A,FALSE,"ET-PAG1";#N/A,#N/A,FALSE,"ET-PAG2";#N/A,#N/A,FALSE,"ET-PAG3";#N/A,#N/A,FALSE,"ET-PAG4";#N/A,#N/A,FALSE,"ET-PAG5"}</definedName>
    <definedName name="mmmm" localSheetId="9" hidden="1">{#N/A,#N/A,FALSE,"ET-CAPA";#N/A,#N/A,FALSE,"ET-PAG1";#N/A,#N/A,FALSE,"ET-PAG2";#N/A,#N/A,FALSE,"ET-PAG3";#N/A,#N/A,FALSE,"ET-PAG4";#N/A,#N/A,FALSE,"ET-PAG5"}</definedName>
    <definedName name="mmmm" hidden="1">{#N/A,#N/A,FALSE,"ET-CAPA";#N/A,#N/A,FALSE,"ET-PAG1";#N/A,#N/A,FALSE,"ET-PAG2";#N/A,#N/A,FALSE,"ET-PAG3";#N/A,#N/A,FALSE,"ET-PAG4";#N/A,#N/A,FALSE,"ET-PAG5"}</definedName>
    <definedName name="MNGB" localSheetId="11" hidden="1">{#N/A,#N/A,FALSE,"ET-CAPA";#N/A,#N/A,FALSE,"ET-PAG1";#N/A,#N/A,FALSE,"ET-PAG2";#N/A,#N/A,FALSE,"ET-PAG3";#N/A,#N/A,FALSE,"ET-PAG4";#N/A,#N/A,FALSE,"ET-PAG5"}</definedName>
    <definedName name="MNGB" localSheetId="12" hidden="1">{#N/A,#N/A,FALSE,"ET-CAPA";#N/A,#N/A,FALSE,"ET-PAG1";#N/A,#N/A,FALSE,"ET-PAG2";#N/A,#N/A,FALSE,"ET-PAG3";#N/A,#N/A,FALSE,"ET-PAG4";#N/A,#N/A,FALSE,"ET-PAG5"}</definedName>
    <definedName name="MNGB" localSheetId="14" hidden="1">{#N/A,#N/A,FALSE,"ET-CAPA";#N/A,#N/A,FALSE,"ET-PAG1";#N/A,#N/A,FALSE,"ET-PAG2";#N/A,#N/A,FALSE,"ET-PAG3";#N/A,#N/A,FALSE,"ET-PAG4";#N/A,#N/A,FALSE,"ET-PAG5"}</definedName>
    <definedName name="MNGB" localSheetId="9" hidden="1">{#N/A,#N/A,FALSE,"ET-CAPA";#N/A,#N/A,FALSE,"ET-PAG1";#N/A,#N/A,FALSE,"ET-PAG2";#N/A,#N/A,FALSE,"ET-PAG3";#N/A,#N/A,FALSE,"ET-PAG4";#N/A,#N/A,FALSE,"ET-PAG5"}</definedName>
    <definedName name="MNGB" hidden="1">{#N/A,#N/A,FALSE,"ET-CAPA";#N/A,#N/A,FALSE,"ET-PAG1";#N/A,#N/A,FALSE,"ET-PAG2";#N/A,#N/A,FALSE,"ET-PAG3";#N/A,#N/A,FALSE,"ET-PAG4";#N/A,#N/A,FALSE,"ET-PAG5"}</definedName>
    <definedName name="MOBILIZAÇÃO" localSheetId="11" hidden="1">{#N/A,#N/A,FALSE,"Cronograma";#N/A,#N/A,FALSE,"Cronogr. 2"}</definedName>
    <definedName name="MOBILIZAÇÃO" localSheetId="12" hidden="1">{#N/A,#N/A,FALSE,"Cronograma";#N/A,#N/A,FALSE,"Cronogr. 2"}</definedName>
    <definedName name="MOBILIZAÇÃO" localSheetId="14" hidden="1">{#N/A,#N/A,FALSE,"Cronograma";#N/A,#N/A,FALSE,"Cronogr. 2"}</definedName>
    <definedName name="MOBILIZAÇÃO" localSheetId="9" hidden="1">{#N/A,#N/A,FALSE,"Cronograma";#N/A,#N/A,FALSE,"Cronogr. 2"}</definedName>
    <definedName name="MOBILIZAÇÃO" hidden="1">{#N/A,#N/A,FALSE,"Cronograma";#N/A,#N/A,FALSE,"Cronogr. 2"}</definedName>
    <definedName name="moi" localSheetId="1">#REF!</definedName>
    <definedName name="moi" localSheetId="7">#REF!</definedName>
    <definedName name="moi" localSheetId="12">[2]Resumo!$X$357</definedName>
    <definedName name="moi" localSheetId="0">#REF!</definedName>
    <definedName name="moi" localSheetId="14">[2]Resumo!$X$357</definedName>
    <definedName name="moi" localSheetId="9">#REF!</definedName>
    <definedName name="moi">#REF!</definedName>
    <definedName name="Months" localSheetId="12">'[10]7. Expenditure &amp; revenue (LLP)'!$T$1:$T$36</definedName>
    <definedName name="Months" localSheetId="14">'[10]7. Expenditure &amp; revenue (LLP)'!$T$1:$T$36</definedName>
    <definedName name="Months" localSheetId="9">#REF!</definedName>
    <definedName name="Months">#REF!</definedName>
    <definedName name="NA">#N/A</definedName>
    <definedName name="nak" localSheetId="1">#REF!</definedName>
    <definedName name="nak" localSheetId="11">#REF!</definedName>
    <definedName name="nak" localSheetId="7">#REF!</definedName>
    <definedName name="nak" localSheetId="12">[2]Resumo!#REF!</definedName>
    <definedName name="nak" localSheetId="0">#REF!</definedName>
    <definedName name="nak" localSheetId="14">[2]Resumo!#REF!</definedName>
    <definedName name="nak" localSheetId="9">#REF!</definedName>
    <definedName name="nak">#REF!</definedName>
    <definedName name="naka" localSheetId="1">#REF!</definedName>
    <definedName name="naka" localSheetId="11">#REF!</definedName>
    <definedName name="naka" localSheetId="7">#REF!</definedName>
    <definedName name="naka" localSheetId="12">[2]Resumo!#REF!</definedName>
    <definedName name="naka" localSheetId="0">#REF!</definedName>
    <definedName name="naka" localSheetId="14">[2]Resumo!#REF!</definedName>
    <definedName name="naka" localSheetId="9">#REF!</definedName>
    <definedName name="naka">#REF!</definedName>
    <definedName name="NÃO">#N/A</definedName>
    <definedName name="okok" localSheetId="11" hidden="1">{#N/A,#N/A,FALSE,"ET-CAPA";#N/A,#N/A,FALSE,"ET-PAG1";#N/A,#N/A,FALSE,"ET-PAG2";#N/A,#N/A,FALSE,"ET-PAG3";#N/A,#N/A,FALSE,"ET-PAG4";#N/A,#N/A,FALSE,"ET-PAG5"}</definedName>
    <definedName name="okok" localSheetId="12" hidden="1">{#N/A,#N/A,FALSE,"ET-CAPA";#N/A,#N/A,FALSE,"ET-PAG1";#N/A,#N/A,FALSE,"ET-PAG2";#N/A,#N/A,FALSE,"ET-PAG3";#N/A,#N/A,FALSE,"ET-PAG4";#N/A,#N/A,FALSE,"ET-PAG5"}</definedName>
    <definedName name="okok" localSheetId="14" hidden="1">{#N/A,#N/A,FALSE,"ET-CAPA";#N/A,#N/A,FALSE,"ET-PAG1";#N/A,#N/A,FALSE,"ET-PAG2";#N/A,#N/A,FALSE,"ET-PAG3";#N/A,#N/A,FALSE,"ET-PAG4";#N/A,#N/A,FALSE,"ET-PAG5"}</definedName>
    <definedName name="okok" localSheetId="9" hidden="1">{#N/A,#N/A,FALSE,"ET-CAPA";#N/A,#N/A,FALSE,"ET-PAG1";#N/A,#N/A,FALSE,"ET-PAG2";#N/A,#N/A,FALSE,"ET-PAG3";#N/A,#N/A,FALSE,"ET-PAG4";#N/A,#N/A,FALSE,"ET-PAG5"}</definedName>
    <definedName name="okok" hidden="1">{#N/A,#N/A,FALSE,"ET-CAPA";#N/A,#N/A,FALSE,"ET-PAG1";#N/A,#N/A,FALSE,"ET-PAG2";#N/A,#N/A,FALSE,"ET-PAG3";#N/A,#N/A,FALSE,"ET-PAG4";#N/A,#N/A,FALSE,"ET-PAG5"}</definedName>
    <definedName name="Opções" localSheetId="1">#REF!</definedName>
    <definedName name="Opções" localSheetId="11">#REF!</definedName>
    <definedName name="Opções" localSheetId="7">#REF!</definedName>
    <definedName name="Opções" localSheetId="12">#REF!</definedName>
    <definedName name="Opções" localSheetId="0">#REF!</definedName>
    <definedName name="Opções" localSheetId="14">#REF!</definedName>
    <definedName name="Opções" localSheetId="9">#REF!</definedName>
    <definedName name="Opções">#REF!</definedName>
    <definedName name="OSE">#N/A</definedName>
    <definedName name="P200LLP" localSheetId="12">'[10]2. Staff (LLP)'!$A$9:$A$208</definedName>
    <definedName name="P200LLP" localSheetId="14">'[10]2. Staff (LLP)'!$A$9:$A$208</definedName>
    <definedName name="P200LLP" localSheetId="9">#REF!</definedName>
    <definedName name="P200LLP">#REF!</definedName>
    <definedName name="PACOTES" localSheetId="12">#REF!</definedName>
    <definedName name="PACOTES" localSheetId="14">#REF!</definedName>
    <definedName name="PACOTES" localSheetId="9">#REF!</definedName>
    <definedName name="PACOTES">#REF!</definedName>
    <definedName name="PARETOATIV" localSheetId="1" hidden="1">{#N/A,#N/A,FALSE,"CPV";#N/A,#N/A,FALSE,"Pareto";#N/A,#N/A,FALSE,"Gráficos"}</definedName>
    <definedName name="PARETOATIV" localSheetId="11" hidden="1">{#N/A,#N/A,FALSE,"CPV";#N/A,#N/A,FALSE,"Pareto";#N/A,#N/A,FALSE,"Gráficos"}</definedName>
    <definedName name="PARETOATIV" localSheetId="7" hidden="1">{#N/A,#N/A,FALSE,"CPV";#N/A,#N/A,FALSE,"Pareto";#N/A,#N/A,FALSE,"Gráficos"}</definedName>
    <definedName name="PARETOATIV" localSheetId="12" hidden="1">{#N/A,#N/A,FALSE,"CPV";#N/A,#N/A,FALSE,"Pareto";#N/A,#N/A,FALSE,"Gráficos"}</definedName>
    <definedName name="PARETOATIV" localSheetId="0" hidden="1">{#N/A,#N/A,FALSE,"CPV";#N/A,#N/A,FALSE,"Pareto";#N/A,#N/A,FALSE,"Gráficos"}</definedName>
    <definedName name="PARETOATIV" localSheetId="14" hidden="1">{#N/A,#N/A,FALSE,"CPV";#N/A,#N/A,FALSE,"Pareto";#N/A,#N/A,FALSE,"Gráficos"}</definedName>
    <definedName name="PARETOATIV" localSheetId="9" hidden="1">{#N/A,#N/A,FALSE,"CPV";#N/A,#N/A,FALSE,"Pareto";#N/A,#N/A,FALSE,"Gráficos"}</definedName>
    <definedName name="PARETOATIV" hidden="1">{#N/A,#N/A,FALSE,"CPV";#N/A,#N/A,FALSE,"Pareto";#N/A,#N/A,FALSE,"Gráficos"}</definedName>
    <definedName name="PEDIDO" localSheetId="12" hidden="1">#REF!</definedName>
    <definedName name="PEDIDO" localSheetId="14" hidden="1">#REF!</definedName>
    <definedName name="PEDIDO" localSheetId="9" hidden="1">#REF!</definedName>
    <definedName name="PEDIDO" hidden="1">#REF!</definedName>
    <definedName name="PERÍODO" localSheetId="12">[23]FONTE!$B$624:$B$638</definedName>
    <definedName name="PERÍODO" localSheetId="14">[23]FONTE!$B$624:$B$638</definedName>
    <definedName name="PERÍODO" localSheetId="9">#REF!</definedName>
    <definedName name="PERÍODO">#REF!</definedName>
    <definedName name="PG_agosto_2002" localSheetId="1">#REF!</definedName>
    <definedName name="PG_agosto_2002" localSheetId="7">#REF!</definedName>
    <definedName name="PG_agosto_2002" localSheetId="12">[2]Resumo!$A$7:$AA$326</definedName>
    <definedName name="PG_agosto_2002" localSheetId="0">#REF!</definedName>
    <definedName name="PG_agosto_2002" localSheetId="14">[2]Resumo!$A$7:$AA$326</definedName>
    <definedName name="PG_agosto_2002" localSheetId="9">#REF!</definedName>
    <definedName name="PG_agosto_2002">#REF!</definedName>
    <definedName name="PLAMOBRA" localSheetId="1">#REF!</definedName>
    <definedName name="PLAMOBRA" localSheetId="11">#REF!</definedName>
    <definedName name="PLAMOBRA" localSheetId="7">#REF!</definedName>
    <definedName name="PLAMOBRA" localSheetId="12">#REF!</definedName>
    <definedName name="PLAMOBRA" localSheetId="0">#REF!</definedName>
    <definedName name="PLAMOBRA" localSheetId="14">#REF!</definedName>
    <definedName name="PLAMOBRA" localSheetId="9">#REF!</definedName>
    <definedName name="PLAMOBRA">#REF!</definedName>
    <definedName name="plan1" localSheetId="11" hidden="1">{#N/A,#N/A,FALSE,"Cronograma";#N/A,#N/A,FALSE,"Cronogr. 2"}</definedName>
    <definedName name="plan1" localSheetId="12" hidden="1">{#N/A,#N/A,FALSE,"Cronograma";#N/A,#N/A,FALSE,"Cronogr. 2"}</definedName>
    <definedName name="plan1" localSheetId="14" hidden="1">{#N/A,#N/A,FALSE,"Cronograma";#N/A,#N/A,FALSE,"Cronogr. 2"}</definedName>
    <definedName name="plan1" localSheetId="9" hidden="1">{#N/A,#N/A,FALSE,"Cronograma";#N/A,#N/A,FALSE,"Cronogr. 2"}</definedName>
    <definedName name="plan1" hidden="1">{#N/A,#N/A,FALSE,"Cronograma";#N/A,#N/A,FALSE,"Cronogr. 2"}</definedName>
    <definedName name="planejado" localSheetId="1">#REF!</definedName>
    <definedName name="planejado" localSheetId="7">#REF!</definedName>
    <definedName name="planejado" localSheetId="12">[18]Planejado!$C$40</definedName>
    <definedName name="planejado" localSheetId="0">#REF!</definedName>
    <definedName name="planejado" localSheetId="14">[18]Planejado!$C$40</definedName>
    <definedName name="planejado" localSheetId="9">#REF!</definedName>
    <definedName name="planejado">#REF!</definedName>
    <definedName name="PLANTA" localSheetId="12">#REF!</definedName>
    <definedName name="PLANTA" localSheetId="14">#REF!</definedName>
    <definedName name="PLANTA" localSheetId="9">#REF!</definedName>
    <definedName name="PLANTA">#REF!</definedName>
    <definedName name="PLANTA_2" localSheetId="12">[23]FONTE!$C$25:$C$38</definedName>
    <definedName name="PLANTA_2" localSheetId="14">[23]FONTE!$C$25:$C$38</definedName>
    <definedName name="PLANTA_2" localSheetId="9">#REF!</definedName>
    <definedName name="PLANTA_2">#REF!</definedName>
    <definedName name="ppp" localSheetId="11" hidden="1">{#N/A,#N/A,FALSE,"ET-CAPA";#N/A,#N/A,FALSE,"ET-PAG1";#N/A,#N/A,FALSE,"ET-PAG2";#N/A,#N/A,FALSE,"ET-PAG3";#N/A,#N/A,FALSE,"ET-PAG4";#N/A,#N/A,FALSE,"ET-PAG5"}</definedName>
    <definedName name="ppp" localSheetId="12" hidden="1">{#N/A,#N/A,FALSE,"ET-CAPA";#N/A,#N/A,FALSE,"ET-PAG1";#N/A,#N/A,FALSE,"ET-PAG2";#N/A,#N/A,FALSE,"ET-PAG3";#N/A,#N/A,FALSE,"ET-PAG4";#N/A,#N/A,FALSE,"ET-PAG5"}</definedName>
    <definedName name="ppp" localSheetId="14" hidden="1">{#N/A,#N/A,FALSE,"ET-CAPA";#N/A,#N/A,FALSE,"ET-PAG1";#N/A,#N/A,FALSE,"ET-PAG2";#N/A,#N/A,FALSE,"ET-PAG3";#N/A,#N/A,FALSE,"ET-PAG4";#N/A,#N/A,FALSE,"ET-PAG5"}</definedName>
    <definedName name="ppp" localSheetId="9" hidden="1">{#N/A,#N/A,FALSE,"ET-CAPA";#N/A,#N/A,FALSE,"ET-PAG1";#N/A,#N/A,FALSE,"ET-PAG2";#N/A,#N/A,FALSE,"ET-PAG3";#N/A,#N/A,FALSE,"ET-PAG4";#N/A,#N/A,FALSE,"ET-PAG5"}</definedName>
    <definedName name="ppp" hidden="1">{#N/A,#N/A,FALSE,"ET-CAPA";#N/A,#N/A,FALSE,"ET-PAG1";#N/A,#N/A,FALSE,"ET-PAG2";#N/A,#N/A,FALSE,"ET-PAG3";#N/A,#N/A,FALSE,"ET-PAG4";#N/A,#N/A,FALSE,"ET-PAG5"}</definedName>
    <definedName name="PTC" localSheetId="12">'[10]11.Expenditure &amp; revenue(Third)'!$A$10:$A$31</definedName>
    <definedName name="PTC" localSheetId="14">'[10]11.Expenditure &amp; revenue(Third)'!$A$10:$A$31</definedName>
    <definedName name="PTC" localSheetId="9">#REF!</definedName>
    <definedName name="PTC">#REF!</definedName>
    <definedName name="q" localSheetId="11" hidden="1">{#N/A,#N/A,FALSE,"RESUMO-BB1";#N/A,#N/A,FALSE,"MOD-A01-R - BB1";#N/A,#N/A,FALSE,"URB-BB1"}</definedName>
    <definedName name="q" localSheetId="12" hidden="1">{#N/A,#N/A,FALSE,"RESUMO-BB1";#N/A,#N/A,FALSE,"MOD-A01-R - BB1";#N/A,#N/A,FALSE,"URB-BB1"}</definedName>
    <definedName name="q" localSheetId="14" hidden="1">{#N/A,#N/A,FALSE,"RESUMO-BB1";#N/A,#N/A,FALSE,"MOD-A01-R - BB1";#N/A,#N/A,FALSE,"URB-BB1"}</definedName>
    <definedName name="q" localSheetId="9" hidden="1">{#N/A,#N/A,FALSE,"RESUMO-BB1";#N/A,#N/A,FALSE,"MOD-A01-R - BB1";#N/A,#N/A,FALSE,"URB-BB1"}</definedName>
    <definedName name="q" hidden="1">{#N/A,#N/A,FALSE,"RESUMO-BB1";#N/A,#N/A,FALSE,"MOD-A01-R - BB1";#N/A,#N/A,FALSE,"URB-BB1"}</definedName>
    <definedName name="qqq" localSheetId="11" hidden="1">{#N/A,#N/A,FALSE,"ET-CAPA";#N/A,#N/A,FALSE,"ET-PAG1";#N/A,#N/A,FALSE,"ET-PAG2";#N/A,#N/A,FALSE,"ET-PAG3";#N/A,#N/A,FALSE,"ET-PAG4";#N/A,#N/A,FALSE,"ET-PAG5"}</definedName>
    <definedName name="qqq" localSheetId="12" hidden="1">{#N/A,#N/A,FALSE,"ET-CAPA";#N/A,#N/A,FALSE,"ET-PAG1";#N/A,#N/A,FALSE,"ET-PAG2";#N/A,#N/A,FALSE,"ET-PAG3";#N/A,#N/A,FALSE,"ET-PAG4";#N/A,#N/A,FALSE,"ET-PAG5"}</definedName>
    <definedName name="qqq" localSheetId="14" hidden="1">{#N/A,#N/A,FALSE,"ET-CAPA";#N/A,#N/A,FALSE,"ET-PAG1";#N/A,#N/A,FALSE,"ET-PAG2";#N/A,#N/A,FALSE,"ET-PAG3";#N/A,#N/A,FALSE,"ET-PAG4";#N/A,#N/A,FALSE,"ET-PAG5"}</definedName>
    <definedName name="qqq" localSheetId="9" hidden="1">{#N/A,#N/A,FALSE,"ET-CAPA";#N/A,#N/A,FALSE,"ET-PAG1";#N/A,#N/A,FALSE,"ET-PAG2";#N/A,#N/A,FALSE,"ET-PAG3";#N/A,#N/A,FALSE,"ET-PAG4";#N/A,#N/A,FALSE,"ET-PAG5"}</definedName>
    <definedName name="qqq" hidden="1">{#N/A,#N/A,FALSE,"ET-CAPA";#N/A,#N/A,FALSE,"ET-PAG1";#N/A,#N/A,FALSE,"ET-PAG2";#N/A,#N/A,FALSE,"ET-PAG3";#N/A,#N/A,FALSE,"ET-PAG4";#N/A,#N/A,FALSE,"ET-PAG5"}</definedName>
    <definedName name="ra" localSheetId="11" hidden="1">{#N/A,#N/A,FALSE,"FATURAM";#N/A,#N/A,FALSE,"PrVnd"}</definedName>
    <definedName name="ra" localSheetId="12" hidden="1">{#N/A,#N/A,FALSE,"FATURAM";#N/A,#N/A,FALSE,"PrVnd"}</definedName>
    <definedName name="ra" localSheetId="14" hidden="1">{#N/A,#N/A,FALSE,"FATURAM";#N/A,#N/A,FALSE,"PrVnd"}</definedName>
    <definedName name="ra" localSheetId="9" hidden="1">{#N/A,#N/A,FALSE,"FATURAM";#N/A,#N/A,FALSE,"PrVnd"}</definedName>
    <definedName name="ra" hidden="1">{#N/A,#N/A,FALSE,"FATURAM";#N/A,#N/A,FALSE,"PrVnd"}</definedName>
    <definedName name="Rates" localSheetId="12">'[10]13. Ceilings'!$B$4:$H$229</definedName>
    <definedName name="Rates" localSheetId="14">'[10]13. Ceilings'!$B$4:$H$229</definedName>
    <definedName name="Rates" localSheetId="9">#REF!</definedName>
    <definedName name="Rates">#REF!</definedName>
    <definedName name="RDO" localSheetId="11" hidden="1">{#N/A,#N/A,FALSE,"ET-CAPA";#N/A,#N/A,FALSE,"ET-PAG1";#N/A,#N/A,FALSE,"ET-PAG2";#N/A,#N/A,FALSE,"ET-PAG3";#N/A,#N/A,FALSE,"ET-PAG4";#N/A,#N/A,FALSE,"ET-PAG5"}</definedName>
    <definedName name="RDO" localSheetId="12" hidden="1">{#N/A,#N/A,FALSE,"ET-CAPA";#N/A,#N/A,FALSE,"ET-PAG1";#N/A,#N/A,FALSE,"ET-PAG2";#N/A,#N/A,FALSE,"ET-PAG3";#N/A,#N/A,FALSE,"ET-PAG4";#N/A,#N/A,FALSE,"ET-PAG5"}</definedName>
    <definedName name="RDO" localSheetId="14" hidden="1">{#N/A,#N/A,FALSE,"ET-CAPA";#N/A,#N/A,FALSE,"ET-PAG1";#N/A,#N/A,FALSE,"ET-PAG2";#N/A,#N/A,FALSE,"ET-PAG3";#N/A,#N/A,FALSE,"ET-PAG4";#N/A,#N/A,FALSE,"ET-PAG5"}</definedName>
    <definedName name="RDO" localSheetId="9" hidden="1">{#N/A,#N/A,FALSE,"ET-CAPA";#N/A,#N/A,FALSE,"ET-PAG1";#N/A,#N/A,FALSE,"ET-PAG2";#N/A,#N/A,FALSE,"ET-PAG3";#N/A,#N/A,FALSE,"ET-PAG4";#N/A,#N/A,FALSE,"ET-PAG5"}</definedName>
    <definedName name="RDO" hidden="1">{#N/A,#N/A,FALSE,"ET-CAPA";#N/A,#N/A,FALSE,"ET-PAG1";#N/A,#N/A,FALSE,"ET-PAG2";#N/A,#N/A,FALSE,"ET-PAG3";#N/A,#N/A,FALSE,"ET-PAG4";#N/A,#N/A,FALSE,"ET-PAG5"}</definedName>
    <definedName name="Relat" localSheetId="11" hidden="1">{#N/A,#N/A,FALSE,"CONTROLE";#N/A,#N/A,FALSE,"CONTROLE"}</definedName>
    <definedName name="Relat" localSheetId="12" hidden="1">{#N/A,#N/A,FALSE,"CONTROLE";#N/A,#N/A,FALSE,"CONTROLE"}</definedName>
    <definedName name="Relat" localSheetId="14" hidden="1">{#N/A,#N/A,FALSE,"CONTROLE";#N/A,#N/A,FALSE,"CONTROLE"}</definedName>
    <definedName name="Relat" localSheetId="9" hidden="1">{#N/A,#N/A,FALSE,"CONTROLE";#N/A,#N/A,FALSE,"CONTROLE"}</definedName>
    <definedName name="Relat" hidden="1">{#N/A,#N/A,FALSE,"CONTROLE";#N/A,#N/A,FALSE,"CONTROLE"}</definedName>
    <definedName name="RESP._MILLS" localSheetId="12">[23]FONTE!$D$4:$D$69</definedName>
    <definedName name="RESP._MILLS" localSheetId="14">[23]FONTE!$D$4:$D$69</definedName>
    <definedName name="RESP._MILLS" localSheetId="9">#REF!</definedName>
    <definedName name="RESP._MILLS">#REF!</definedName>
    <definedName name="RESPONSÁVEL_MILLS" localSheetId="12">#REF!</definedName>
    <definedName name="RESPONSÁVEL_MILLS" localSheetId="14">#REF!</definedName>
    <definedName name="RESPONSÁVEL_MILLS" localSheetId="9">#REF!</definedName>
    <definedName name="RESPONSÁVEL_MILLS">#REF!</definedName>
    <definedName name="rev" localSheetId="1">#REF!</definedName>
    <definedName name="rev" localSheetId="11">#REF!</definedName>
    <definedName name="rev" localSheetId="7">#REF!</definedName>
    <definedName name="rev" localSheetId="12">[2]Resumo!#REF!</definedName>
    <definedName name="rev" localSheetId="0">#REF!</definedName>
    <definedName name="rev" localSheetId="14">[2]Resumo!#REF!</definedName>
    <definedName name="rev" localSheetId="9">#REF!</definedName>
    <definedName name="rev">#REF!</definedName>
    <definedName name="ROTINA" localSheetId="12">#REF!</definedName>
    <definedName name="ROTINA" localSheetId="14">#REF!</definedName>
    <definedName name="ROTINA" localSheetId="9">#REF!</definedName>
    <definedName name="ROTINA">#REF!</definedName>
    <definedName name="rua" localSheetId="11" hidden="1">{#N/A,#N/A,FALSE,"FATURAM";#N/A,#N/A,FALSE,"PrVnd"}</definedName>
    <definedName name="rua" localSheetId="12" hidden="1">{#N/A,#N/A,FALSE,"FATURAM";#N/A,#N/A,FALSE,"PrVnd"}</definedName>
    <definedName name="rua" localSheetId="14" hidden="1">{#N/A,#N/A,FALSE,"FATURAM";#N/A,#N/A,FALSE,"PrVnd"}</definedName>
    <definedName name="rua" localSheetId="9" hidden="1">{#N/A,#N/A,FALSE,"FATURAM";#N/A,#N/A,FALSE,"PrVnd"}</definedName>
    <definedName name="rua" hidden="1">{#N/A,#N/A,FALSE,"FATURAM";#N/A,#N/A,FALSE,"PrVnd"}</definedName>
    <definedName name="sadad" localSheetId="11" hidden="1">{#N/A,#N/A,FALSE,"ET-CAPA";#N/A,#N/A,FALSE,"ET-PAG1";#N/A,#N/A,FALSE,"ET-PAG2";#N/A,#N/A,FALSE,"ET-PAG3";#N/A,#N/A,FALSE,"ET-PAG4";#N/A,#N/A,FALSE,"ET-PAG5"}</definedName>
    <definedName name="sadad" localSheetId="12" hidden="1">{#N/A,#N/A,FALSE,"ET-CAPA";#N/A,#N/A,FALSE,"ET-PAG1";#N/A,#N/A,FALSE,"ET-PAG2";#N/A,#N/A,FALSE,"ET-PAG3";#N/A,#N/A,FALSE,"ET-PAG4";#N/A,#N/A,FALSE,"ET-PAG5"}</definedName>
    <definedName name="sadad" localSheetId="14" hidden="1">{#N/A,#N/A,FALSE,"ET-CAPA";#N/A,#N/A,FALSE,"ET-PAG1";#N/A,#N/A,FALSE,"ET-PAG2";#N/A,#N/A,FALSE,"ET-PAG3";#N/A,#N/A,FALSE,"ET-PAG4";#N/A,#N/A,FALSE,"ET-PAG5"}</definedName>
    <definedName name="sadad" localSheetId="9" hidden="1">{#N/A,#N/A,FALSE,"ET-CAPA";#N/A,#N/A,FALSE,"ET-PAG1";#N/A,#N/A,FALSE,"ET-PAG2";#N/A,#N/A,FALSE,"ET-PAG3";#N/A,#N/A,FALSE,"ET-PAG4";#N/A,#N/A,FALSE,"ET-PAG5"}</definedName>
    <definedName name="sadad" hidden="1">{#N/A,#N/A,FALSE,"ET-CAPA";#N/A,#N/A,FALSE,"ET-PAG1";#N/A,#N/A,FALSE,"ET-PAG2";#N/A,#N/A,FALSE,"ET-PAG3";#N/A,#N/A,FALSE,"ET-PAG4";#N/A,#N/A,FALSE,"ET-PAG5"}</definedName>
    <definedName name="SAPBEXdnldView" hidden="1">"4AC7D4F9KEZI2GK6TCS5BTOOK"</definedName>
    <definedName name="SAPBEXrevision" hidden="1">37</definedName>
    <definedName name="SAPBEXsysID" hidden="1">"BP0"</definedName>
    <definedName name="SAPBEXwbID" hidden="1">"3NSC4KY9CECFOJ87CIAWGNM9E"</definedName>
    <definedName name="sds" localSheetId="12" hidden="1">#REF!</definedName>
    <definedName name="sds" localSheetId="14" hidden="1">#REF!</definedName>
    <definedName name="sds" localSheetId="9" hidden="1">#REF!</definedName>
    <definedName name="sds" hidden="1">#REF!</definedName>
    <definedName name="seee" localSheetId="11" hidden="1">{#N/A,#N/A,FALSE,"Cronograma";#N/A,#N/A,FALSE,"Cronogr. 2"}</definedName>
    <definedName name="seee" localSheetId="12" hidden="1">{#N/A,#N/A,FALSE,"Cronograma";#N/A,#N/A,FALSE,"Cronogr. 2"}</definedName>
    <definedName name="seee" localSheetId="14" hidden="1">{#N/A,#N/A,FALSE,"Cronograma";#N/A,#N/A,FALSE,"Cronogr. 2"}</definedName>
    <definedName name="seee" localSheetId="9" hidden="1">{#N/A,#N/A,FALSE,"Cronograma";#N/A,#N/A,FALSE,"Cronogr. 2"}</definedName>
    <definedName name="seee" hidden="1">{#N/A,#N/A,FALSE,"Cronograma";#N/A,#N/A,FALSE,"Cronogr. 2"}</definedName>
    <definedName name="SIM">#N/A</definedName>
    <definedName name="SIM_OU_NÃO" localSheetId="12">#REF!</definedName>
    <definedName name="SIM_OU_NÃO" localSheetId="14">#REF!</definedName>
    <definedName name="SIM_OU_NÃO" localSheetId="9">#REF!</definedName>
    <definedName name="SIM_OU_NÃO">#REF!</definedName>
    <definedName name="SSS">#N/A</definedName>
    <definedName name="sssss" localSheetId="11" hidden="1">{#N/A,#N/A,FALSE,"ET-CAPA";#N/A,#N/A,FALSE,"ET-PAG1";#N/A,#N/A,FALSE,"ET-PAG2";#N/A,#N/A,FALSE,"ET-PAG3";#N/A,#N/A,FALSE,"ET-PAG4";#N/A,#N/A,FALSE,"ET-PAG5"}</definedName>
    <definedName name="sssss" localSheetId="12" hidden="1">{#N/A,#N/A,FALSE,"ET-CAPA";#N/A,#N/A,FALSE,"ET-PAG1";#N/A,#N/A,FALSE,"ET-PAG2";#N/A,#N/A,FALSE,"ET-PAG3";#N/A,#N/A,FALSE,"ET-PAG4";#N/A,#N/A,FALSE,"ET-PAG5"}</definedName>
    <definedName name="sssss" localSheetId="14" hidden="1">{#N/A,#N/A,FALSE,"ET-CAPA";#N/A,#N/A,FALSE,"ET-PAG1";#N/A,#N/A,FALSE,"ET-PAG2";#N/A,#N/A,FALSE,"ET-PAG3";#N/A,#N/A,FALSE,"ET-PAG4";#N/A,#N/A,FALSE,"ET-PAG5"}</definedName>
    <definedName name="sssss" localSheetId="9" hidden="1">{#N/A,#N/A,FALSE,"ET-CAPA";#N/A,#N/A,FALSE,"ET-PAG1";#N/A,#N/A,FALSE,"ET-PAG2";#N/A,#N/A,FALSE,"ET-PAG3";#N/A,#N/A,FALSE,"ET-PAG4";#N/A,#N/A,FALSE,"ET-PAG5"}</definedName>
    <definedName name="sssss" hidden="1">{#N/A,#N/A,FALSE,"ET-CAPA";#N/A,#N/A,FALSE,"ET-PAG1";#N/A,#N/A,FALSE,"ET-PAG2";#N/A,#N/A,FALSE,"ET-PAG3";#N/A,#N/A,FALSE,"ET-PAG4";#N/A,#N/A,FALSE,"ET-PAG5"}</definedName>
    <definedName name="TAB" localSheetId="1">#REF!</definedName>
    <definedName name="TAB" localSheetId="11">#REF!</definedName>
    <definedName name="TAB" localSheetId="7">#REF!</definedName>
    <definedName name="TAB" localSheetId="12">#REF!</definedName>
    <definedName name="TAB" localSheetId="0">#REF!</definedName>
    <definedName name="TAB" localSheetId="14">#REF!</definedName>
    <definedName name="TAB" localSheetId="9">#REF!</definedName>
    <definedName name="TAB">#REF!</definedName>
    <definedName name="Tab_preco" localSheetId="1">#REF!</definedName>
    <definedName name="Tab_preco" localSheetId="12">#REF!</definedName>
    <definedName name="Tab_preco" localSheetId="0">#REF!</definedName>
    <definedName name="Tab_preco" localSheetId="14">#REF!</definedName>
    <definedName name="Tab_preco" localSheetId="9">#REF!</definedName>
    <definedName name="Tab_preco">#REF!</definedName>
    <definedName name="tabela" localSheetId="12">[25]Sheet2!$A$4:$B$12</definedName>
    <definedName name="tabela" localSheetId="14">[25]Sheet2!$A$4:$B$12</definedName>
    <definedName name="tabela" localSheetId="9">#REF!</definedName>
    <definedName name="tabela">#REF!</definedName>
    <definedName name="TEST0" localSheetId="1">#REF!</definedName>
    <definedName name="TEST0" localSheetId="11">#REF!</definedName>
    <definedName name="TEST0" localSheetId="7">#REF!</definedName>
    <definedName name="TEST0" localSheetId="12">#REF!</definedName>
    <definedName name="TEST0" localSheetId="0">#REF!</definedName>
    <definedName name="TEST0" localSheetId="14">#REF!</definedName>
    <definedName name="TEST0" localSheetId="9">#REF!</definedName>
    <definedName name="TEST0">#REF!</definedName>
    <definedName name="TEST1" localSheetId="1">#REF!</definedName>
    <definedName name="TEST1" localSheetId="12">#REF!</definedName>
    <definedName name="TEST1" localSheetId="0">#REF!</definedName>
    <definedName name="TEST1" localSheetId="14">#REF!</definedName>
    <definedName name="TEST1" localSheetId="9">#REF!</definedName>
    <definedName name="TEST1">#REF!</definedName>
    <definedName name="teste1" localSheetId="11" hidden="1">{#N/A,#N/A,FALSE,"CONTROLE"}</definedName>
    <definedName name="teste1" localSheetId="12" hidden="1">{#N/A,#N/A,FALSE,"CONTROLE"}</definedName>
    <definedName name="teste1" localSheetId="14" hidden="1">{#N/A,#N/A,FALSE,"CONTROLE"}</definedName>
    <definedName name="teste1" localSheetId="9" hidden="1">{#N/A,#N/A,FALSE,"CONTROLE"}</definedName>
    <definedName name="teste1" hidden="1">{#N/A,#N/A,FALSE,"CONTROLE"}</definedName>
    <definedName name="TESTHKEY" localSheetId="1">#REF!</definedName>
    <definedName name="TESTHKEY" localSheetId="11">#REF!</definedName>
    <definedName name="TESTHKEY" localSheetId="7">#REF!</definedName>
    <definedName name="TESTHKEY" localSheetId="12">#REF!</definedName>
    <definedName name="TESTHKEY" localSheetId="0">#REF!</definedName>
    <definedName name="TESTHKEY" localSheetId="14">#REF!</definedName>
    <definedName name="TESTHKEY" localSheetId="9">#REF!</definedName>
    <definedName name="TESTHKEY">#REF!</definedName>
    <definedName name="TESTKEYS" localSheetId="1">#REF!</definedName>
    <definedName name="TESTKEYS" localSheetId="12">#REF!</definedName>
    <definedName name="TESTKEYS" localSheetId="0">#REF!</definedName>
    <definedName name="TESTKEYS" localSheetId="14">#REF!</definedName>
    <definedName name="TESTKEYS" localSheetId="9">#REF!</definedName>
    <definedName name="TESTKEYS">#REF!</definedName>
    <definedName name="TESTVKEY" localSheetId="1">#REF!</definedName>
    <definedName name="TESTVKEY" localSheetId="12">#REF!</definedName>
    <definedName name="TESTVKEY" localSheetId="0">#REF!</definedName>
    <definedName name="TESTVKEY" localSheetId="14">#REF!</definedName>
    <definedName name="TESTVKEY" localSheetId="9">#REF!</definedName>
    <definedName name="TESTVKEY">#REF!</definedName>
    <definedName name="Third" localSheetId="12">'[10]13. Ceilings'!$B$67:$B$229</definedName>
    <definedName name="Third" localSheetId="14">'[10]13. Ceilings'!$B$67:$B$229</definedName>
    <definedName name="Third" localSheetId="9">#REF!</definedName>
    <definedName name="Third">#REF!</definedName>
    <definedName name="TIB" localSheetId="11" hidden="1">#REF!</definedName>
    <definedName name="TIB" localSheetId="12" hidden="1">#REF!</definedName>
    <definedName name="TIB" localSheetId="14" hidden="1">#REF!</definedName>
    <definedName name="TIB" localSheetId="9" hidden="1">#REF!</definedName>
    <definedName name="TIB" hidden="1">#REF!</definedName>
    <definedName name="TIPO_DE_ANDAIME" localSheetId="12">#REF!</definedName>
    <definedName name="TIPO_DE_ANDAIME" localSheetId="14">#REF!</definedName>
    <definedName name="TIPO_DE_ANDAIME" localSheetId="9">#REF!</definedName>
    <definedName name="TIPO_DE_ANDAIME">#REF!</definedName>
    <definedName name="TIPO_DE_HORA" localSheetId="12">#REF!</definedName>
    <definedName name="TIPO_DE_HORA" localSheetId="14">#REF!</definedName>
    <definedName name="TIPO_DE_HORA" localSheetId="9">#REF!</definedName>
    <definedName name="TIPO_DE_HORA">#REF!</definedName>
    <definedName name="TIPO_TRASP." localSheetId="12">#REF!</definedName>
    <definedName name="TIPO_TRASP." localSheetId="14">#REF!</definedName>
    <definedName name="TIPO_TRASP." localSheetId="9">#REF!</definedName>
    <definedName name="TIPO_TRASP.">#REF!</definedName>
    <definedName name="TIPOISOLAMENTO" localSheetId="1">#REF!</definedName>
    <definedName name="TIPOISOLAMENTO" localSheetId="12">#REF!</definedName>
    <definedName name="TIPOISOLAMENTO" localSheetId="0">#REF!</definedName>
    <definedName name="TIPOISOLAMENTO" localSheetId="14">#REF!</definedName>
    <definedName name="TIPOISOLAMENTO" localSheetId="9">#REF!</definedName>
    <definedName name="TIPOISOLAMENTO">#REF!</definedName>
    <definedName name="_xlnm.Print_Titles" localSheetId="14">'TOTAL SERVIÇO + MATERIAL'!#REF!</definedName>
    <definedName name="_xlnm.Print_Titles" localSheetId="9">'TUB. PU'!$1:$8</definedName>
    <definedName name="TM" localSheetId="12">[23]FONTE!$B$25:$B$33</definedName>
    <definedName name="TM" localSheetId="14">[23]FONTE!$B$25:$B$33</definedName>
    <definedName name="TM" localSheetId="9">#REF!</definedName>
    <definedName name="TM">#REF!</definedName>
    <definedName name="tranaporte" localSheetId="11" hidden="1">{#N/A,#N/A,FALSE,"ET-CAPA";#N/A,#N/A,FALSE,"ET-PAG1";#N/A,#N/A,FALSE,"ET-PAG2";#N/A,#N/A,FALSE,"ET-PAG3";#N/A,#N/A,FALSE,"ET-PAG4";#N/A,#N/A,FALSE,"ET-PAG5"}</definedName>
    <definedName name="tranaporte" localSheetId="12" hidden="1">{#N/A,#N/A,FALSE,"ET-CAPA";#N/A,#N/A,FALSE,"ET-PAG1";#N/A,#N/A,FALSE,"ET-PAG2";#N/A,#N/A,FALSE,"ET-PAG3";#N/A,#N/A,FALSE,"ET-PAG4";#N/A,#N/A,FALSE,"ET-PAG5"}</definedName>
    <definedName name="tranaporte" localSheetId="14" hidden="1">{#N/A,#N/A,FALSE,"ET-CAPA";#N/A,#N/A,FALSE,"ET-PAG1";#N/A,#N/A,FALSE,"ET-PAG2";#N/A,#N/A,FALSE,"ET-PAG3";#N/A,#N/A,FALSE,"ET-PAG4";#N/A,#N/A,FALSE,"ET-PAG5"}</definedName>
    <definedName name="tranaporte" localSheetId="9" hidden="1">{#N/A,#N/A,FALSE,"ET-CAPA";#N/A,#N/A,FALSE,"ET-PAG1";#N/A,#N/A,FALSE,"ET-PAG2";#N/A,#N/A,FALSE,"ET-PAG3";#N/A,#N/A,FALSE,"ET-PAG4";#N/A,#N/A,FALSE,"ET-PAG5"}</definedName>
    <definedName name="tranaporte" hidden="1">{#N/A,#N/A,FALSE,"ET-CAPA";#N/A,#N/A,FALSE,"ET-PAG1";#N/A,#N/A,FALSE,"ET-PAG2";#N/A,#N/A,FALSE,"ET-PAG3";#N/A,#N/A,FALSE,"ET-PAG4";#N/A,#N/A,FALSE,"ET-PAG5"}</definedName>
    <definedName name="TRANSPORTE" localSheetId="12">[23]FONTE!$B$46:$B$51</definedName>
    <definedName name="TRANSPORTE" localSheetId="14">[23]FONTE!$B$46:$B$51</definedName>
    <definedName name="TRANSPORTE" localSheetId="9">#REF!</definedName>
    <definedName name="TRANSPORTE">#REF!</definedName>
    <definedName name="TRANSPORTES" localSheetId="12">[26]FONTE!$B$129:$B$482</definedName>
    <definedName name="TRANSPORTES" localSheetId="14">[26]FONTE!$B$129:$B$482</definedName>
    <definedName name="TRANSPORTES" localSheetId="9">#REF!</definedName>
    <definedName name="TRANSPORTES">#REF!</definedName>
    <definedName name="um" localSheetId="11" hidden="1">{#N/A,#N/A,FALSE,"Cronograma";#N/A,#N/A,FALSE,"Cronogr. 2"}</definedName>
    <definedName name="um" localSheetId="12" hidden="1">{#N/A,#N/A,FALSE,"Cronograma";#N/A,#N/A,FALSE,"Cronogr. 2"}</definedName>
    <definedName name="um" localSheetId="14" hidden="1">{#N/A,#N/A,FALSE,"Cronograma";#N/A,#N/A,FALSE,"Cronogr. 2"}</definedName>
    <definedName name="um" localSheetId="9" hidden="1">{#N/A,#N/A,FALSE,"Cronograma";#N/A,#N/A,FALSE,"Cronogr. 2"}</definedName>
    <definedName name="um" hidden="1">{#N/A,#N/A,FALSE,"Cronograma";#N/A,#N/A,FALSE,"Cronogr. 2"}</definedName>
    <definedName name="UNIDADE" localSheetId="12">#REF!</definedName>
    <definedName name="UNIDADE" localSheetId="14">#REF!</definedName>
    <definedName name="UNIDADE" localSheetId="9">#REF!</definedName>
    <definedName name="UNIDADE">#REF!</definedName>
    <definedName name="Upvc_2001" localSheetId="1">#REF!</definedName>
    <definedName name="Upvc_2001" localSheetId="11">#REF!</definedName>
    <definedName name="Upvc_2001" localSheetId="7">#REF!</definedName>
    <definedName name="Upvc_2001" localSheetId="12">#REF!</definedName>
    <definedName name="Upvc_2001" localSheetId="0">#REF!</definedName>
    <definedName name="Upvc_2001" localSheetId="14">#REF!</definedName>
    <definedName name="Upvc_2001" localSheetId="9">#REF!</definedName>
    <definedName name="Upvc_2001">#REF!</definedName>
    <definedName name="UPVC_99" localSheetId="1">#REF!</definedName>
    <definedName name="UPVC_99" localSheetId="12">#REF!</definedName>
    <definedName name="UPVC_99" localSheetId="0">#REF!</definedName>
    <definedName name="UPVC_99" localSheetId="14">#REF!</definedName>
    <definedName name="UPVC_99" localSheetId="9">#REF!</definedName>
    <definedName name="UPVC_99">#REF!</definedName>
    <definedName name="V.unit" localSheetId="1">#REF!</definedName>
    <definedName name="V.unit" localSheetId="12">#REF!</definedName>
    <definedName name="V.unit" localSheetId="0">#REF!</definedName>
    <definedName name="V.unit" localSheetId="14">#REF!</definedName>
    <definedName name="V.unit" localSheetId="9">#REF!</definedName>
    <definedName name="V.unit">#REF!</definedName>
    <definedName name="valorunitario" localSheetId="1">#REF!</definedName>
    <definedName name="valorunitario" localSheetId="12">#REF!</definedName>
    <definedName name="valorunitario" localSheetId="0">#REF!</definedName>
    <definedName name="valorunitario" localSheetId="14">#REF!</definedName>
    <definedName name="valorunitario" localSheetId="9">#REF!</definedName>
    <definedName name="valorunitario">#REF!</definedName>
    <definedName name="WAS" localSheetId="11" hidden="1">{#N/A,#N/A,FALSE,"ET-CAPA";#N/A,#N/A,FALSE,"ET-PAG1";#N/A,#N/A,FALSE,"ET-PAG2";#N/A,#N/A,FALSE,"ET-PAG3";#N/A,#N/A,FALSE,"ET-PAG4";#N/A,#N/A,FALSE,"ET-PAG5"}</definedName>
    <definedName name="WAS" localSheetId="12" hidden="1">{#N/A,#N/A,FALSE,"ET-CAPA";#N/A,#N/A,FALSE,"ET-PAG1";#N/A,#N/A,FALSE,"ET-PAG2";#N/A,#N/A,FALSE,"ET-PAG3";#N/A,#N/A,FALSE,"ET-PAG4";#N/A,#N/A,FALSE,"ET-PAG5"}</definedName>
    <definedName name="WAS" localSheetId="14" hidden="1">{#N/A,#N/A,FALSE,"ET-CAPA";#N/A,#N/A,FALSE,"ET-PAG1";#N/A,#N/A,FALSE,"ET-PAG2";#N/A,#N/A,FALSE,"ET-PAG3";#N/A,#N/A,FALSE,"ET-PAG4";#N/A,#N/A,FALSE,"ET-PAG5"}</definedName>
    <definedName name="WAS" localSheetId="9" hidden="1">{#N/A,#N/A,FALSE,"ET-CAPA";#N/A,#N/A,FALSE,"ET-PAG1";#N/A,#N/A,FALSE,"ET-PAG2";#N/A,#N/A,FALSE,"ET-PAG3";#N/A,#N/A,FALSE,"ET-PAG4";#N/A,#N/A,FALSE,"ET-PAG5"}</definedName>
    <definedName name="WAS" hidden="1">{#N/A,#N/A,FALSE,"ET-CAPA";#N/A,#N/A,FALSE,"ET-PAG1";#N/A,#N/A,FALSE,"ET-PAG2";#N/A,#N/A,FALSE,"ET-PAG3";#N/A,#N/A,FALSE,"ET-PAG4";#N/A,#N/A,FALSE,"ET-PAG5"}</definedName>
    <definedName name="World" localSheetId="12">'[10]13. Ceilings'!$B$4:$B$229</definedName>
    <definedName name="World" localSheetId="14">'[10]13. Ceilings'!$B$4:$B$229</definedName>
    <definedName name="World" localSheetId="9">#REF!</definedName>
    <definedName name="World">#REF!</definedName>
    <definedName name="wrn.BB1." localSheetId="11" hidden="1">{#N/A,#N/A,FALSE,"RESUMO-BB1";#N/A,#N/A,FALSE,"MOD-A01-R - BB1";#N/A,#N/A,FALSE,"URB-BB1"}</definedName>
    <definedName name="wrn.BB1." localSheetId="12" hidden="1">{#N/A,#N/A,FALSE,"RESUMO-BB1";#N/A,#N/A,FALSE,"MOD-A01-R - BB1";#N/A,#N/A,FALSE,"URB-BB1"}</definedName>
    <definedName name="wrn.BB1." localSheetId="14" hidden="1">{#N/A,#N/A,FALSE,"RESUMO-BB1";#N/A,#N/A,FALSE,"MOD-A01-R - BB1";#N/A,#N/A,FALSE,"URB-BB1"}</definedName>
    <definedName name="wrn.BB1." localSheetId="9" hidden="1">{#N/A,#N/A,FALSE,"RESUMO-BB1";#N/A,#N/A,FALSE,"MOD-A01-R - BB1";#N/A,#N/A,FALSE,"URB-BB1"}</definedName>
    <definedName name="wrn.BB1." hidden="1">{#N/A,#N/A,FALSE,"RESUMO-BB1";#N/A,#N/A,FALSE,"MOD-A01-R - BB1";#N/A,#N/A,FALSE,"URB-BB1"}</definedName>
    <definedName name="wrn.BB2" localSheetId="11" hidden="1">{#N/A,#N/A,FALSE,"RESUMO-BB1";#N/A,#N/A,FALSE,"MOD-A01-R - BB1";#N/A,#N/A,FALSE,"URB-BB1"}</definedName>
    <definedName name="wrn.BB2" localSheetId="12" hidden="1">{#N/A,#N/A,FALSE,"RESUMO-BB1";#N/A,#N/A,FALSE,"MOD-A01-R - BB1";#N/A,#N/A,FALSE,"URB-BB1"}</definedName>
    <definedName name="wrn.BB2" localSheetId="14" hidden="1">{#N/A,#N/A,FALSE,"RESUMO-BB1";#N/A,#N/A,FALSE,"MOD-A01-R - BB1";#N/A,#N/A,FALSE,"URB-BB1"}</definedName>
    <definedName name="wrn.BB2" localSheetId="9" hidden="1">{#N/A,#N/A,FALSE,"RESUMO-BB1";#N/A,#N/A,FALSE,"MOD-A01-R - BB1";#N/A,#N/A,FALSE,"URB-BB1"}</definedName>
    <definedName name="wrn.BB2" hidden="1">{#N/A,#N/A,FALSE,"RESUMO-BB1";#N/A,#N/A,FALSE,"MOD-A01-R - BB1";#N/A,#N/A,FALSE,"URB-BB1"}</definedName>
    <definedName name="wrn.BETER." localSheetId="11" hidden="1">{#N/A,#N/A,FALSE,"BETER -1";#N/A,#N/A,FALSE,"BETER -2";#N/A,#N/A,FALSE,"BETER -3";#N/A,#N/A,FALSE,"BETER -urb";#N/A,#N/A,FALSE,"BETER -RESUMO"}</definedName>
    <definedName name="wrn.BETER." localSheetId="12" hidden="1">{#N/A,#N/A,FALSE,"BETER -1";#N/A,#N/A,FALSE,"BETER -2";#N/A,#N/A,FALSE,"BETER -3";#N/A,#N/A,FALSE,"BETER -urb";#N/A,#N/A,FALSE,"BETER -RESUMO"}</definedName>
    <definedName name="wrn.BETER." localSheetId="14" hidden="1">{#N/A,#N/A,FALSE,"BETER -1";#N/A,#N/A,FALSE,"BETER -2";#N/A,#N/A,FALSE,"BETER -3";#N/A,#N/A,FALSE,"BETER -urb";#N/A,#N/A,FALSE,"BETER -RESUMO"}</definedName>
    <definedName name="wrn.BETER." localSheetId="9" hidden="1">{#N/A,#N/A,FALSE,"BETER -1";#N/A,#N/A,FALSE,"BETER -2";#N/A,#N/A,FALSE,"BETER -3";#N/A,#N/A,FALSE,"BETER -urb";#N/A,#N/A,FALSE,"BETER -RESUMO"}</definedName>
    <definedName name="wrn.BETER." hidden="1">{#N/A,#N/A,FALSE,"BETER -1";#N/A,#N/A,FALSE,"BETER -2";#N/A,#N/A,FALSE,"BETER -3";#N/A,#N/A,FALSE,"BETER -urb";#N/A,#N/A,FALSE,"BETER -RESUMO"}</definedName>
    <definedName name="wrn.Caixa._.de._.Ferramentas." localSheetId="11"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localSheetId="12"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localSheetId="14"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localSheetId="9"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_.Individuais." localSheetId="11"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localSheetId="12"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localSheetId="14"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localSheetId="9"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ixa._.de._.Ferramentas._.Individuais."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ronograma." localSheetId="11" hidden="1">{#N/A,#N/A,FALSE,"Cronograma";#N/A,#N/A,FALSE,"Cronogr. 2"}</definedName>
    <definedName name="wrn.Cronograma." localSheetId="12" hidden="1">{#N/A,#N/A,FALSE,"Cronograma";#N/A,#N/A,FALSE,"Cronogr. 2"}</definedName>
    <definedName name="wrn.Cronograma." localSheetId="14" hidden="1">{#N/A,#N/A,FALSE,"Cronograma";#N/A,#N/A,FALSE,"Cronogr. 2"}</definedName>
    <definedName name="wrn.Cronograma." localSheetId="9" hidden="1">{#N/A,#N/A,FALSE,"Cronograma";#N/A,#N/A,FALSE,"Cronogr. 2"}</definedName>
    <definedName name="wrn.Cronograma." hidden="1">{#N/A,#N/A,FALSE,"Cronograma";#N/A,#N/A,FALSE,"Cronogr. 2"}</definedName>
    <definedName name="wrn.DESDOBRE." localSheetId="1" hidden="1">{#N/A,#N/A,FALSE,"CPV";#N/A,#N/A,FALSE,"Pareto";#N/A,#N/A,FALSE,"Gráficos"}</definedName>
    <definedName name="wrn.DESDOBRE." localSheetId="11" hidden="1">{#N/A,#N/A,FALSE,"CPV";#N/A,#N/A,FALSE,"Pareto";#N/A,#N/A,FALSE,"Gráficos"}</definedName>
    <definedName name="wrn.DESDOBRE." localSheetId="7" hidden="1">{#N/A,#N/A,FALSE,"CPV";#N/A,#N/A,FALSE,"Pareto";#N/A,#N/A,FALSE,"Gráficos"}</definedName>
    <definedName name="wrn.DESDOBRE." localSheetId="12" hidden="1">{#N/A,#N/A,FALSE,"CPV";#N/A,#N/A,FALSE,"Pareto";#N/A,#N/A,FALSE,"Gráficos"}</definedName>
    <definedName name="wrn.DESDOBRE." localSheetId="0" hidden="1">{#N/A,#N/A,FALSE,"CPV";#N/A,#N/A,FALSE,"Pareto";#N/A,#N/A,FALSE,"Gráficos"}</definedName>
    <definedName name="wrn.DESDOBRE." localSheetId="14" hidden="1">{#N/A,#N/A,FALSE,"CPV";#N/A,#N/A,FALSE,"Pareto";#N/A,#N/A,FALSE,"Gráficos"}</definedName>
    <definedName name="wrn.DESDOBRE." localSheetId="9" hidden="1">{#N/A,#N/A,FALSE,"CPV";#N/A,#N/A,FALSE,"Pareto";#N/A,#N/A,FALSE,"Gráficos"}</definedName>
    <definedName name="wrn.DESDOBRE." hidden="1">{#N/A,#N/A,FALSE,"CPV";#N/A,#N/A,FALSE,"Pareto";#N/A,#N/A,FALSE,"Gráficos"}</definedName>
    <definedName name="wrn.GERAL." localSheetId="11" hidden="1">{#N/A,#N/A,FALSE,"ET-CAPA";#N/A,#N/A,FALSE,"ET-PAG1";#N/A,#N/A,FALSE,"ET-PAG2";#N/A,#N/A,FALSE,"ET-PAG3";#N/A,#N/A,FALSE,"ET-PAG4";#N/A,#N/A,FALSE,"ET-PAG5"}</definedName>
    <definedName name="wrn.GERAL." localSheetId="12" hidden="1">{#N/A,#N/A,FALSE,"ET-CAPA";#N/A,#N/A,FALSE,"ET-PAG1";#N/A,#N/A,FALSE,"ET-PAG2";#N/A,#N/A,FALSE,"ET-PAG3";#N/A,#N/A,FALSE,"ET-PAG4";#N/A,#N/A,FALSE,"ET-PAG5"}</definedName>
    <definedName name="wrn.GERAL." localSheetId="14" hidden="1">{#N/A,#N/A,FALSE,"ET-CAPA";#N/A,#N/A,FALSE,"ET-PAG1";#N/A,#N/A,FALSE,"ET-PAG2";#N/A,#N/A,FALSE,"ET-PAG3";#N/A,#N/A,FALSE,"ET-PAG4";#N/A,#N/A,FALSE,"ET-PAG5"}</definedName>
    <definedName name="wrn.GERAL." localSheetId="9" hidden="1">{#N/A,#N/A,FALSE,"ET-CAPA";#N/A,#N/A,FALSE,"ET-PAG1";#N/A,#N/A,FALSE,"ET-PAG2";#N/A,#N/A,FALSE,"ET-PAG3";#N/A,#N/A,FALSE,"ET-PAG4";#N/A,#N/A,FALSE,"ET-PAG5"}</definedName>
    <definedName name="wrn.GERAL." hidden="1">{#N/A,#N/A,FALSE,"ET-CAPA";#N/A,#N/A,FALSE,"ET-PAG1";#N/A,#N/A,FALSE,"ET-PAG2";#N/A,#N/A,FALSE,"ET-PAG3";#N/A,#N/A,FALSE,"ET-PAG4";#N/A,#N/A,FALSE,"ET-PAG5"}</definedName>
    <definedName name="wrn.PENDENCIAS." localSheetId="11" hidden="1">{#N/A,#N/A,FALSE,"GERAL";#N/A,#N/A,FALSE,"012-96";#N/A,#N/A,FALSE,"018-96";#N/A,#N/A,FALSE,"027-96";#N/A,#N/A,FALSE,"059-96";#N/A,#N/A,FALSE,"076-96";#N/A,#N/A,FALSE,"019-97";#N/A,#N/A,FALSE,"021-97";#N/A,#N/A,FALSE,"022-97";#N/A,#N/A,FALSE,"028-97"}</definedName>
    <definedName name="wrn.PENDENCIAS." localSheetId="12" hidden="1">{#N/A,#N/A,FALSE,"GERAL";#N/A,#N/A,FALSE,"012-96";#N/A,#N/A,FALSE,"018-96";#N/A,#N/A,FALSE,"027-96";#N/A,#N/A,FALSE,"059-96";#N/A,#N/A,FALSE,"076-96";#N/A,#N/A,FALSE,"019-97";#N/A,#N/A,FALSE,"021-97";#N/A,#N/A,FALSE,"022-97";#N/A,#N/A,FALSE,"028-97"}</definedName>
    <definedName name="wrn.PENDENCIAS." localSheetId="14" hidden="1">{#N/A,#N/A,FALSE,"GERAL";#N/A,#N/A,FALSE,"012-96";#N/A,#N/A,FALSE,"018-96";#N/A,#N/A,FALSE,"027-96";#N/A,#N/A,FALSE,"059-96";#N/A,#N/A,FALSE,"076-96";#N/A,#N/A,FALSE,"019-97";#N/A,#N/A,FALSE,"021-97";#N/A,#N/A,FALSE,"022-97";#N/A,#N/A,FALSE,"028-97"}</definedName>
    <definedName name="wrn.PENDENCIAS." localSheetId="9"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 name="wrn.rela1." localSheetId="11" hidden="1">{#N/A,#N/A,FALSE,"FATURAM";#N/A,#N/A,FALSE,"PrVnd"}</definedName>
    <definedName name="wrn.rela1." localSheetId="12" hidden="1">{#N/A,#N/A,FALSE,"FATURAM";#N/A,#N/A,FALSE,"PrVnd"}</definedName>
    <definedName name="wrn.rela1." localSheetId="14" hidden="1">{#N/A,#N/A,FALSE,"FATURAM";#N/A,#N/A,FALSE,"PrVnd"}</definedName>
    <definedName name="wrn.rela1." localSheetId="9" hidden="1">{#N/A,#N/A,FALSE,"FATURAM";#N/A,#N/A,FALSE,"PrVnd"}</definedName>
    <definedName name="wrn.rela1." hidden="1">{#N/A,#N/A,FALSE,"FATURAM";#N/A,#N/A,FALSE,"PrVnd"}</definedName>
    <definedName name="xa\d" localSheetId="12">[24]FONTE!$B$81:$B$87</definedName>
    <definedName name="xa\d" localSheetId="14">[24]FONTE!$B$81:$B$87</definedName>
    <definedName name="xa\d" localSheetId="9">#REF!</definedName>
    <definedName name="xa\d">#REF!</definedName>
    <definedName name="Xuxu" localSheetId="11" hidden="1">{#N/A,#N/A,FALSE,"CONTROLE"}</definedName>
    <definedName name="Xuxu" localSheetId="12" hidden="1">{#N/A,#N/A,FALSE,"CONTROLE"}</definedName>
    <definedName name="Xuxu" localSheetId="14" hidden="1">{#N/A,#N/A,FALSE,"CONTROLE"}</definedName>
    <definedName name="Xuxu" localSheetId="9" hidden="1">{#N/A,#N/A,FALSE,"CONTROLE"}</definedName>
    <definedName name="Xuxu" hidden="1">{#N/A,#N/A,FALSE,"CONTROLE"}</definedName>
    <definedName name="xxx" localSheetId="1">#REF!</definedName>
    <definedName name="xxx" localSheetId="11">#REF!</definedName>
    <definedName name="xxx" localSheetId="7">#REF!</definedName>
    <definedName name="xxx" localSheetId="12">#REF!</definedName>
    <definedName name="xxx" localSheetId="0">#REF!</definedName>
    <definedName name="xxx" localSheetId="14">#REF!</definedName>
    <definedName name="xxx" localSheetId="9">#REF!</definedName>
    <definedName name="xxx">#REF!</definedName>
  </definedNames>
  <calcPr calcId="191029"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 i="50" l="1"/>
  <c r="K6" i="50"/>
  <c r="F7" i="50"/>
  <c r="E7" i="50"/>
  <c r="E6" i="50"/>
  <c r="E5" i="50"/>
  <c r="G15" i="50"/>
  <c r="F5" i="50" s="1"/>
  <c r="F6" i="50" s="1"/>
  <c r="F15" i="50"/>
  <c r="G14" i="50"/>
  <c r="F14" i="50"/>
  <c r="AK16" i="46"/>
  <c r="AE15" i="46"/>
  <c r="C5" i="30"/>
  <c r="C11" i="30"/>
  <c r="D16" i="48"/>
  <c r="D16" i="46"/>
  <c r="O16" i="46"/>
  <c r="X16" i="46"/>
  <c r="Y16" i="46"/>
  <c r="Z16" i="46" s="1"/>
  <c r="AC16" i="46"/>
  <c r="AE16" i="46"/>
  <c r="F17" i="50" l="1"/>
  <c r="G7" i="50" s="1"/>
  <c r="H7" i="50" s="1"/>
  <c r="G17" i="50"/>
  <c r="AA16" i="46"/>
  <c r="AB16" i="46" s="1"/>
  <c r="AF16" i="46" s="1"/>
  <c r="X18" i="46"/>
  <c r="Y18" i="46"/>
  <c r="Z18" i="46" s="1"/>
  <c r="AC18" i="46"/>
  <c r="D24" i="50"/>
  <c r="G8" i="50" s="1"/>
  <c r="O12" i="46"/>
  <c r="O11" i="46"/>
  <c r="O10" i="46"/>
  <c r="AD16" i="46" l="1"/>
  <c r="AG16" i="46" s="1"/>
  <c r="AA18" i="46"/>
  <c r="AB18" i="46" s="1"/>
  <c r="AD18" i="46" l="1"/>
  <c r="D14" i="48"/>
  <c r="D15" i="48" s="1"/>
  <c r="D36" i="48" l="1"/>
  <c r="D35" i="48"/>
  <c r="D34" i="48"/>
  <c r="D33" i="48"/>
  <c r="D32" i="48"/>
  <c r="D31" i="48"/>
  <c r="D30" i="48"/>
  <c r="D29" i="48"/>
  <c r="D28" i="48"/>
  <c r="D27" i="48"/>
  <c r="D26" i="48"/>
  <c r="D25" i="48"/>
  <c r="D24" i="48"/>
  <c r="D23" i="48"/>
  <c r="D22" i="48"/>
  <c r="D21" i="48"/>
  <c r="D20" i="48"/>
  <c r="D19" i="48"/>
  <c r="D18" i="48"/>
  <c r="D17" i="48"/>
  <c r="D26" i="50" s="1"/>
  <c r="D13" i="48"/>
  <c r="D10" i="48"/>
  <c r="D9" i="48"/>
  <c r="G9" i="48" s="1"/>
  <c r="F8" i="48"/>
  <c r="D8" i="48"/>
  <c r="G8" i="48" s="1"/>
  <c r="D6" i="48"/>
  <c r="G6" i="48" s="1"/>
  <c r="I6" i="48" s="1"/>
  <c r="D5" i="48"/>
  <c r="G5" i="48" s="1"/>
  <c r="A13" i="47" l="1"/>
  <c r="A14" i="47"/>
  <c r="A15" i="47"/>
  <c r="A16" i="47"/>
  <c r="A17" i="47"/>
  <c r="A18" i="47"/>
  <c r="A19" i="47"/>
  <c r="A20" i="47"/>
  <c r="A21" i="47"/>
  <c r="A22" i="47"/>
  <c r="A23" i="47"/>
  <c r="A24" i="47"/>
  <c r="A25" i="47"/>
  <c r="A26" i="47"/>
  <c r="A27" i="47"/>
  <c r="A28" i="47"/>
  <c r="A29" i="47"/>
  <c r="A30" i="47"/>
  <c r="A31" i="47"/>
  <c r="A12" i="47"/>
  <c r="F47" i="47" l="1"/>
  <c r="G47" i="47" s="1"/>
  <c r="H47" i="47" s="1"/>
  <c r="I47" i="47" s="1"/>
  <c r="J47" i="47" s="1"/>
  <c r="E41" i="47"/>
  <c r="F41" i="47" s="1"/>
  <c r="G41" i="47" s="1"/>
  <c r="H41" i="47" s="1"/>
  <c r="I41" i="47" s="1"/>
  <c r="J41" i="47" s="1"/>
  <c r="K41" i="47" s="1"/>
  <c r="L41" i="47" s="1"/>
  <c r="M41" i="47" s="1"/>
  <c r="N41" i="47" s="1"/>
  <c r="O41" i="47" s="1"/>
  <c r="P41" i="47" s="1"/>
  <c r="Q41" i="47" s="1"/>
  <c r="R41" i="47" s="1"/>
  <c r="S41" i="47" s="1"/>
  <c r="T41" i="47" s="1"/>
  <c r="U41" i="47" s="1"/>
  <c r="V41" i="47" s="1"/>
  <c r="W41" i="47" s="1"/>
  <c r="X41" i="47" s="1"/>
  <c r="Y41" i="47" s="1"/>
  <c r="Z41" i="47" s="1"/>
  <c r="AA41" i="47" s="1"/>
  <c r="AB41" i="47" s="1"/>
  <c r="AC41" i="47" s="1"/>
  <c r="AD41" i="47" s="1"/>
  <c r="AE41" i="47" s="1"/>
  <c r="AF41" i="47" s="1"/>
  <c r="AG41" i="47" s="1"/>
  <c r="AH41" i="47" s="1"/>
  <c r="AI41" i="47" s="1"/>
  <c r="AJ41" i="47" s="1"/>
  <c r="AK41" i="47" s="1"/>
  <c r="AL41" i="47" s="1"/>
  <c r="AM41" i="47" s="1"/>
  <c r="AN41" i="47" s="1"/>
  <c r="AO41" i="47" s="1"/>
  <c r="AP41" i="47" s="1"/>
  <c r="AQ41" i="47" s="1"/>
  <c r="AR41" i="47" s="1"/>
  <c r="AS41" i="47" s="1"/>
  <c r="AT41" i="47" s="1"/>
  <c r="AU41" i="47" s="1"/>
  <c r="AV41" i="47" s="1"/>
  <c r="AW41" i="47" s="1"/>
  <c r="AX41" i="47" s="1"/>
  <c r="AY41" i="47" s="1"/>
  <c r="AZ41" i="47" s="1"/>
  <c r="BA41" i="47" s="1"/>
  <c r="BB41" i="47" s="1"/>
  <c r="BC41" i="47" s="1"/>
  <c r="BD41" i="47" s="1"/>
  <c r="BE41" i="47" s="1"/>
  <c r="BF41" i="47" s="1"/>
  <c r="BG41" i="47" s="1"/>
  <c r="E39" i="47"/>
  <c r="E37" i="47"/>
  <c r="F43" i="47" s="1"/>
  <c r="CP32" i="47"/>
  <c r="CP38" i="47" s="1"/>
  <c r="CO32" i="47"/>
  <c r="CN32" i="47"/>
  <c r="CM32" i="47"/>
  <c r="CL32" i="47"/>
  <c r="CL38" i="47" s="1"/>
  <c r="CK32" i="47"/>
  <c r="CJ32" i="47"/>
  <c r="CI32" i="47"/>
  <c r="CH32" i="47"/>
  <c r="CG32" i="47"/>
  <c r="CF32" i="47"/>
  <c r="CE32" i="47"/>
  <c r="CD32" i="47"/>
  <c r="CC32" i="47"/>
  <c r="CB32" i="47"/>
  <c r="CA32" i="47"/>
  <c r="BZ32" i="47"/>
  <c r="BY32" i="47"/>
  <c r="BX32" i="47"/>
  <c r="BW32" i="47"/>
  <c r="BV32" i="47"/>
  <c r="BU32" i="47"/>
  <c r="BT32" i="47"/>
  <c r="BS32" i="47"/>
  <c r="BR32" i="47"/>
  <c r="BQ32" i="47"/>
  <c r="BP32" i="47"/>
  <c r="BO32" i="47"/>
  <c r="BN32" i="47"/>
  <c r="BM32" i="47"/>
  <c r="BL32" i="47"/>
  <c r="BK32" i="47"/>
  <c r="BK38" i="47" s="1"/>
  <c r="BJ32" i="47"/>
  <c r="BJ38" i="47" s="1"/>
  <c r="BI32" i="47"/>
  <c r="BI38" i="47" s="1"/>
  <c r="BH32" i="47"/>
  <c r="BH38" i="47" s="1"/>
  <c r="BG32" i="47"/>
  <c r="BG38" i="47" s="1"/>
  <c r="BF32" i="47"/>
  <c r="BF38" i="47" s="1"/>
  <c r="BE32" i="47"/>
  <c r="BE38" i="47" s="1"/>
  <c r="BD32" i="47"/>
  <c r="BD38" i="47" s="1"/>
  <c r="BC32" i="47"/>
  <c r="BC38" i="47" s="1"/>
  <c r="BB32" i="47"/>
  <c r="BB38" i="47" s="1"/>
  <c r="BA32" i="47"/>
  <c r="BA38" i="47" s="1"/>
  <c r="AZ32" i="47"/>
  <c r="AZ38" i="47" s="1"/>
  <c r="AY32" i="47"/>
  <c r="AY38" i="47" s="1"/>
  <c r="AX32" i="47"/>
  <c r="AX38" i="47" s="1"/>
  <c r="AW32" i="47"/>
  <c r="AW38" i="47" s="1"/>
  <c r="AV32" i="47"/>
  <c r="AV38" i="47" s="1"/>
  <c r="AU32" i="47"/>
  <c r="AU38" i="47" s="1"/>
  <c r="AT32" i="47"/>
  <c r="AT38" i="47" s="1"/>
  <c r="AS32" i="47"/>
  <c r="AS38" i="47" s="1"/>
  <c r="AR32" i="47"/>
  <c r="AR38" i="47" s="1"/>
  <c r="AQ32" i="47"/>
  <c r="AQ38" i="47" s="1"/>
  <c r="AP32" i="47"/>
  <c r="AP38" i="47" s="1"/>
  <c r="AO32" i="47"/>
  <c r="AO38" i="47" s="1"/>
  <c r="AN32" i="47"/>
  <c r="AN38" i="47" s="1"/>
  <c r="AM32" i="47"/>
  <c r="AM38" i="47" s="1"/>
  <c r="AL32" i="47"/>
  <c r="AL38" i="47" s="1"/>
  <c r="AK32" i="47"/>
  <c r="AK38" i="47" s="1"/>
  <c r="AJ32" i="47"/>
  <c r="AJ38" i="47" s="1"/>
  <c r="AI32" i="47"/>
  <c r="AI38" i="47" s="1"/>
  <c r="AH32" i="47"/>
  <c r="AH38" i="47" s="1"/>
  <c r="AG32" i="47"/>
  <c r="AG38" i="47" s="1"/>
  <c r="AF32" i="47"/>
  <c r="AE32" i="47"/>
  <c r="AE38" i="47" s="1"/>
  <c r="AD32" i="47"/>
  <c r="AD38" i="47" s="1"/>
  <c r="AC32" i="47"/>
  <c r="AC38" i="47" s="1"/>
  <c r="AB32" i="47"/>
  <c r="AB38" i="47" s="1"/>
  <c r="AA32" i="47"/>
  <c r="AA38" i="47" s="1"/>
  <c r="Z32" i="47"/>
  <c r="Z38" i="47" s="1"/>
  <c r="Y32" i="47"/>
  <c r="Y38" i="47" s="1"/>
  <c r="X32" i="47"/>
  <c r="W32" i="47"/>
  <c r="W38" i="47" s="1"/>
  <c r="V32" i="47"/>
  <c r="V38" i="47" s="1"/>
  <c r="U32" i="47"/>
  <c r="U38" i="47" s="1"/>
  <c r="T32" i="47"/>
  <c r="T38" i="47" s="1"/>
  <c r="S32" i="47"/>
  <c r="S38" i="47" s="1"/>
  <c r="R32" i="47"/>
  <c r="R38" i="47" s="1"/>
  <c r="Q32" i="47"/>
  <c r="P32" i="47"/>
  <c r="P38" i="47" s="1"/>
  <c r="O32" i="47"/>
  <c r="O38" i="47" s="1"/>
  <c r="N32" i="47"/>
  <c r="N38" i="47" s="1"/>
  <c r="M32" i="47"/>
  <c r="M38" i="47" s="1"/>
  <c r="L32" i="47"/>
  <c r="K32" i="47"/>
  <c r="K38" i="47" s="1"/>
  <c r="J32" i="47"/>
  <c r="J38" i="47" s="1"/>
  <c r="I32" i="47"/>
  <c r="I38" i="47" s="1"/>
  <c r="H32" i="47"/>
  <c r="H38" i="47" s="1"/>
  <c r="G32" i="47"/>
  <c r="G38" i="47" s="1"/>
  <c r="F32" i="47"/>
  <c r="F38" i="47" s="1"/>
  <c r="E32" i="47"/>
  <c r="DB31" i="47"/>
  <c r="CY31" i="47"/>
  <c r="CZ31" i="47" s="1"/>
  <c r="DA31" i="47" s="1"/>
  <c r="DD31" i="47" s="1"/>
  <c r="CU31" i="47"/>
  <c r="CT31" i="47"/>
  <c r="CS31" i="47"/>
  <c r="CQ31" i="47"/>
  <c r="DB30" i="47"/>
  <c r="CY30" i="47"/>
  <c r="CZ30" i="47" s="1"/>
  <c r="CU30" i="47"/>
  <c r="CT30" i="47"/>
  <c r="CS30" i="47"/>
  <c r="CQ30" i="47"/>
  <c r="DB29" i="47"/>
  <c r="CY29" i="47"/>
  <c r="CZ29" i="47" s="1"/>
  <c r="DA29" i="47" s="1"/>
  <c r="DD29" i="47" s="1"/>
  <c r="CU29" i="47"/>
  <c r="CT29" i="47"/>
  <c r="CS29" i="47"/>
  <c r="CQ29" i="47"/>
  <c r="DB28" i="47"/>
  <c r="CY28" i="47"/>
  <c r="CZ28" i="47" s="1"/>
  <c r="CU28" i="47"/>
  <c r="CT28" i="47"/>
  <c r="CS28" i="47"/>
  <c r="CQ28" i="47"/>
  <c r="DB27" i="47"/>
  <c r="CY27" i="47"/>
  <c r="DJ18" i="47" s="1"/>
  <c r="CU27" i="47"/>
  <c r="CT27" i="47"/>
  <c r="CS27" i="47"/>
  <c r="CQ27" i="47"/>
  <c r="DB26" i="47"/>
  <c r="CY26" i="47"/>
  <c r="CU26" i="47"/>
  <c r="CT26" i="47"/>
  <c r="CS26" i="47"/>
  <c r="CQ26" i="47"/>
  <c r="DB25" i="47"/>
  <c r="CY25" i="47"/>
  <c r="CZ25" i="47" s="1"/>
  <c r="CU25" i="47"/>
  <c r="CT25" i="47"/>
  <c r="CS25" i="47"/>
  <c r="CQ25" i="47"/>
  <c r="DB24" i="47"/>
  <c r="CY24" i="47"/>
  <c r="CZ24" i="47" s="1"/>
  <c r="DA24" i="47" s="1"/>
  <c r="CU24" i="47"/>
  <c r="CT24" i="47"/>
  <c r="CS24" i="47"/>
  <c r="CQ24" i="47"/>
  <c r="DB23" i="47"/>
  <c r="CY23" i="47"/>
  <c r="CZ23" i="47" s="1"/>
  <c r="CU23" i="47"/>
  <c r="CT23" i="47"/>
  <c r="CS23" i="47"/>
  <c r="CQ23" i="47"/>
  <c r="DB22" i="47"/>
  <c r="CY22" i="47"/>
  <c r="CZ22" i="47" s="1"/>
  <c r="CU22" i="47"/>
  <c r="CT22" i="47"/>
  <c r="CS22" i="47"/>
  <c r="CQ22" i="47"/>
  <c r="DB21" i="47"/>
  <c r="CY21" i="47"/>
  <c r="CZ21" i="47" s="1"/>
  <c r="CU21" i="47"/>
  <c r="CT21" i="47"/>
  <c r="CS21" i="47"/>
  <c r="CQ21" i="47"/>
  <c r="DB20" i="47"/>
  <c r="CY20" i="47"/>
  <c r="CZ20" i="47" s="1"/>
  <c r="DA20" i="47" s="1"/>
  <c r="CU20" i="47"/>
  <c r="CT20" i="47"/>
  <c r="CS20" i="47"/>
  <c r="CQ20" i="47"/>
  <c r="DB19" i="47"/>
  <c r="CY19" i="47"/>
  <c r="CZ19" i="47" s="1"/>
  <c r="CU19" i="47"/>
  <c r="CT19" i="47"/>
  <c r="CS19" i="47"/>
  <c r="CQ19" i="47"/>
  <c r="DB18" i="47"/>
  <c r="CY18" i="47"/>
  <c r="CZ18" i="47" s="1"/>
  <c r="DA18" i="47" s="1"/>
  <c r="DD18" i="47" s="1"/>
  <c r="CU18" i="47"/>
  <c r="CT18" i="47"/>
  <c r="CS18" i="47"/>
  <c r="CQ18" i="47"/>
  <c r="DB17" i="47"/>
  <c r="CY17" i="47"/>
  <c r="CZ17" i="47" s="1"/>
  <c r="CU17" i="47"/>
  <c r="CT17" i="47"/>
  <c r="CS17" i="47"/>
  <c r="CQ17" i="47"/>
  <c r="DB16" i="47"/>
  <c r="CY16" i="47"/>
  <c r="CZ16" i="47" s="1"/>
  <c r="DA16" i="47" s="1"/>
  <c r="DD16" i="47" s="1"/>
  <c r="CU16" i="47"/>
  <c r="CT16" i="47"/>
  <c r="CS16" i="47"/>
  <c r="CQ16" i="47"/>
  <c r="DB15" i="47"/>
  <c r="CY15" i="47"/>
  <c r="CZ15" i="47" s="1"/>
  <c r="CU15" i="47"/>
  <c r="CT15" i="47"/>
  <c r="CS15" i="47"/>
  <c r="CQ15" i="47"/>
  <c r="DB14" i="47"/>
  <c r="CY14" i="47"/>
  <c r="CZ14" i="47" s="1"/>
  <c r="DA14" i="47" s="1"/>
  <c r="CU14" i="47"/>
  <c r="CT14" i="47"/>
  <c r="CS14" i="47"/>
  <c r="CQ14" i="47"/>
  <c r="DB13" i="47"/>
  <c r="CY13" i="47"/>
  <c r="CZ13" i="47" s="1"/>
  <c r="CU13" i="47"/>
  <c r="CT13" i="47"/>
  <c r="CS13" i="47"/>
  <c r="CQ13" i="47"/>
  <c r="DB12" i="47"/>
  <c r="CY12" i="47"/>
  <c r="CU12" i="47"/>
  <c r="CT12" i="47"/>
  <c r="CS12" i="47"/>
  <c r="CQ12" i="47"/>
  <c r="B11" i="47"/>
  <c r="A11" i="47"/>
  <c r="F10" i="47"/>
  <c r="G10" i="47" s="1"/>
  <c r="G37" i="47" s="1"/>
  <c r="G36" i="47" s="1"/>
  <c r="F9" i="47"/>
  <c r="E9" i="47"/>
  <c r="E36" i="47" s="1"/>
  <c r="DB4" i="47"/>
  <c r="DB3" i="47"/>
  <c r="DD35" i="47" l="1"/>
  <c r="DD34" i="47"/>
  <c r="J50" i="47"/>
  <c r="CZ27" i="47"/>
  <c r="DA27" i="47" s="1"/>
  <c r="DD27" i="47" s="1"/>
  <c r="H50" i="47"/>
  <c r="DA23" i="47"/>
  <c r="DD23" i="47" s="1"/>
  <c r="DA17" i="47"/>
  <c r="DD17" i="47" s="1"/>
  <c r="DD24" i="47"/>
  <c r="F44" i="47"/>
  <c r="F45" i="47" s="1"/>
  <c r="DA15" i="47"/>
  <c r="DD15" i="47" s="1"/>
  <c r="DD14" i="47"/>
  <c r="I50" i="47"/>
  <c r="Q38" i="47"/>
  <c r="H44" i="47" s="1"/>
  <c r="BH41" i="47"/>
  <c r="BI41" i="47" s="1"/>
  <c r="BJ41" i="47" s="1"/>
  <c r="BK41" i="47" s="1"/>
  <c r="CP41" i="47" s="1"/>
  <c r="CL41" i="47"/>
  <c r="G9" i="47"/>
  <c r="H10" i="47"/>
  <c r="DJ21" i="47"/>
  <c r="G50" i="47"/>
  <c r="F50" i="47"/>
  <c r="F39" i="47"/>
  <c r="G39" i="47" s="1"/>
  <c r="H39" i="47" s="1"/>
  <c r="I39" i="47" s="1"/>
  <c r="J39" i="47" s="1"/>
  <c r="K39" i="47" s="1"/>
  <c r="F49" i="47"/>
  <c r="G43" i="47"/>
  <c r="DA13" i="47"/>
  <c r="DD13" i="47" s="1"/>
  <c r="DA21" i="47"/>
  <c r="DD21" i="47" s="1"/>
  <c r="CZ26" i="47"/>
  <c r="DA26" i="47" s="1"/>
  <c r="DD26" i="47" s="1"/>
  <c r="DJ17" i="47"/>
  <c r="DA28" i="47"/>
  <c r="DD28" i="47" s="1"/>
  <c r="DA30" i="47"/>
  <c r="DD30" i="47" s="1"/>
  <c r="F37" i="47"/>
  <c r="F36" i="47" s="1"/>
  <c r="CZ12" i="47"/>
  <c r="DA12" i="47" s="1"/>
  <c r="DD12" i="47" s="1"/>
  <c r="DA19" i="47"/>
  <c r="DD19" i="47" s="1"/>
  <c r="DD20" i="47"/>
  <c r="DA22" i="47"/>
  <c r="DD22" i="47" s="1"/>
  <c r="DA25" i="47"/>
  <c r="DD25" i="47" s="1"/>
  <c r="L38" i="47"/>
  <c r="G44" i="47" s="1"/>
  <c r="X38" i="47"/>
  <c r="I44" i="47" s="1"/>
  <c r="AF38" i="47"/>
  <c r="J44" i="47" s="1"/>
  <c r="L39" i="47" l="1"/>
  <c r="M39" i="47" s="1"/>
  <c r="N39" i="47" s="1"/>
  <c r="O39" i="47" s="1"/>
  <c r="P39" i="47" s="1"/>
  <c r="Q39" i="47" s="1"/>
  <c r="R39" i="47" s="1"/>
  <c r="S39" i="47" s="1"/>
  <c r="T39" i="47" s="1"/>
  <c r="U39" i="47" s="1"/>
  <c r="V39" i="47" s="1"/>
  <c r="W39" i="47" s="1"/>
  <c r="X39" i="47" s="1"/>
  <c r="Y39" i="47" s="1"/>
  <c r="Z39" i="47" s="1"/>
  <c r="AA39" i="47" s="1"/>
  <c r="AB39" i="47" s="1"/>
  <c r="AC39" i="47" s="1"/>
  <c r="AD39" i="47" s="1"/>
  <c r="AE39" i="47" s="1"/>
  <c r="AF39" i="47" s="1"/>
  <c r="AG39" i="47" s="1"/>
  <c r="AH39" i="47" s="1"/>
  <c r="AI39" i="47" s="1"/>
  <c r="AJ39" i="47" s="1"/>
  <c r="AK39" i="47" s="1"/>
  <c r="AL39" i="47" s="1"/>
  <c r="AM39" i="47" s="1"/>
  <c r="AN39" i="47" s="1"/>
  <c r="AO39" i="47" s="1"/>
  <c r="AP39" i="47" s="1"/>
  <c r="AQ39" i="47" s="1"/>
  <c r="AR39" i="47" s="1"/>
  <c r="AS39" i="47" s="1"/>
  <c r="AT39" i="47" s="1"/>
  <c r="AU39" i="47" s="1"/>
  <c r="AV39" i="47" s="1"/>
  <c r="AW39" i="47" s="1"/>
  <c r="AX39" i="47" s="1"/>
  <c r="AY39" i="47" s="1"/>
  <c r="AZ39" i="47" s="1"/>
  <c r="BA39" i="47" s="1"/>
  <c r="BB39" i="47" s="1"/>
  <c r="BC39" i="47" s="1"/>
  <c r="BD39" i="47" s="1"/>
  <c r="BE39" i="47" s="1"/>
  <c r="BF39" i="47" s="1"/>
  <c r="BG39" i="47" s="1"/>
  <c r="BH39" i="47" s="1"/>
  <c r="BI39" i="47" s="1"/>
  <c r="BJ39" i="47" s="1"/>
  <c r="BK39" i="47" s="1"/>
  <c r="CP39" i="47" s="1"/>
  <c r="G45" i="47"/>
  <c r="H45" i="47" s="1"/>
  <c r="I45" i="47" s="1"/>
  <c r="J45" i="47" s="1"/>
  <c r="DD32" i="47"/>
  <c r="G49" i="47"/>
  <c r="H43" i="47"/>
  <c r="I10" i="47"/>
  <c r="H37" i="47"/>
  <c r="H36" i="47" s="1"/>
  <c r="H9" i="47"/>
  <c r="CL39" i="47" l="1"/>
  <c r="I37" i="47"/>
  <c r="I36" i="47" s="1"/>
  <c r="I9" i="47"/>
  <c r="J10" i="47"/>
  <c r="I43" i="47"/>
  <c r="H49" i="47"/>
  <c r="J43" i="47" l="1"/>
  <c r="J49" i="47" s="1"/>
  <c r="I49" i="47"/>
  <c r="K10" i="47"/>
  <c r="J37" i="47"/>
  <c r="J36" i="47" s="1"/>
  <c r="J9" i="47"/>
  <c r="K37" i="47" l="1"/>
  <c r="K36" i="47" s="1"/>
  <c r="L10" i="47"/>
  <c r="K9" i="47"/>
  <c r="L37" i="47" l="1"/>
  <c r="L36" i="47" s="1"/>
  <c r="L9" i="47"/>
  <c r="M10" i="47"/>
  <c r="M37" i="47" l="1"/>
  <c r="M36" i="47" s="1"/>
  <c r="M9" i="47"/>
  <c r="N10" i="47"/>
  <c r="O10" i="47" l="1"/>
  <c r="N37" i="47"/>
  <c r="N36" i="47" s="1"/>
  <c r="N9" i="47"/>
  <c r="O37" i="47" l="1"/>
  <c r="O36" i="47" s="1"/>
  <c r="P10" i="47"/>
  <c r="O9" i="47"/>
  <c r="Q10" i="47" l="1"/>
  <c r="P37" i="47"/>
  <c r="P36" i="47" s="1"/>
  <c r="P9" i="47"/>
  <c r="Q37" i="47" l="1"/>
  <c r="Q36" i="47" s="1"/>
  <c r="R10" i="47"/>
  <c r="Q9" i="47"/>
  <c r="S10" i="47" l="1"/>
  <c r="R37" i="47"/>
  <c r="R36" i="47" s="1"/>
  <c r="R9" i="47"/>
  <c r="S37" i="47" l="1"/>
  <c r="S36" i="47" s="1"/>
  <c r="T10" i="47"/>
  <c r="S9" i="47"/>
  <c r="T37" i="47" l="1"/>
  <c r="T36" i="47" s="1"/>
  <c r="T9" i="47"/>
  <c r="U10" i="47"/>
  <c r="U37" i="47" l="1"/>
  <c r="U36" i="47" s="1"/>
  <c r="V10" i="47"/>
  <c r="U9" i="47"/>
  <c r="W10" i="47" l="1"/>
  <c r="V9" i="47"/>
  <c r="V37" i="47"/>
  <c r="V36" i="47" s="1"/>
  <c r="W37" i="47" l="1"/>
  <c r="W36" i="47" s="1"/>
  <c r="X10" i="47"/>
  <c r="W9" i="47"/>
  <c r="Y10" i="47" l="1"/>
  <c r="X37" i="47"/>
  <c r="X36" i="47" s="1"/>
  <c r="X9" i="47"/>
  <c r="Y37" i="47" l="1"/>
  <c r="Y36" i="47" s="1"/>
  <c r="Z10" i="47"/>
  <c r="Y9" i="47"/>
  <c r="AA10" i="47" l="1"/>
  <c r="Z37" i="47"/>
  <c r="Z36" i="47" s="1"/>
  <c r="Z9" i="47"/>
  <c r="AA37" i="47" l="1"/>
  <c r="AA36" i="47" s="1"/>
  <c r="AA9" i="47"/>
  <c r="AB10" i="47"/>
  <c r="AB37" i="47" l="1"/>
  <c r="AB36" i="47" s="1"/>
  <c r="AB9" i="47"/>
  <c r="AC10" i="47"/>
  <c r="AC37" i="47" l="1"/>
  <c r="AC36" i="47" s="1"/>
  <c r="AD10" i="47"/>
  <c r="AC9" i="47"/>
  <c r="AE10" i="47" l="1"/>
  <c r="AD9" i="47"/>
  <c r="AD37" i="47"/>
  <c r="AD36" i="47" s="1"/>
  <c r="AE37" i="47" l="1"/>
  <c r="AE36" i="47" s="1"/>
  <c r="AF10" i="47"/>
  <c r="AE9" i="47"/>
  <c r="AG10" i="47" l="1"/>
  <c r="AF37" i="47"/>
  <c r="AF36" i="47" s="1"/>
  <c r="AF9" i="47"/>
  <c r="AG37" i="47" l="1"/>
  <c r="AG36" i="47" s="1"/>
  <c r="AH10" i="47"/>
  <c r="AG9" i="47"/>
  <c r="AI10" i="47" l="1"/>
  <c r="AH37" i="47"/>
  <c r="AH36" i="47" s="1"/>
  <c r="AH9" i="47"/>
  <c r="AI37" i="47" l="1"/>
  <c r="AI36" i="47" s="1"/>
  <c r="AI9" i="47"/>
  <c r="AJ10" i="47"/>
  <c r="AJ37" i="47" l="1"/>
  <c r="AJ36" i="47" s="1"/>
  <c r="AJ9" i="47"/>
  <c r="AK10" i="47"/>
  <c r="AK37" i="47" l="1"/>
  <c r="AK36" i="47" s="1"/>
  <c r="AL10" i="47"/>
  <c r="AK9" i="47"/>
  <c r="AM10" i="47" l="1"/>
  <c r="AL9" i="47"/>
  <c r="AL37" i="47"/>
  <c r="AL36" i="47" s="1"/>
  <c r="AM37" i="47" l="1"/>
  <c r="AM36" i="47" s="1"/>
  <c r="AN10" i="47"/>
  <c r="AM9" i="47"/>
  <c r="AO10" i="47" l="1"/>
  <c r="AN37" i="47"/>
  <c r="AN36" i="47" s="1"/>
  <c r="AN9" i="47"/>
  <c r="AO37" i="47" l="1"/>
  <c r="AO36" i="47" s="1"/>
  <c r="AP10" i="47"/>
  <c r="AO9" i="47"/>
  <c r="AQ10" i="47" l="1"/>
  <c r="AP37" i="47"/>
  <c r="AP36" i="47" s="1"/>
  <c r="AP9" i="47"/>
  <c r="AQ37" i="47" l="1"/>
  <c r="AQ36" i="47" s="1"/>
  <c r="AR10" i="47"/>
  <c r="AQ9" i="47"/>
  <c r="AR37" i="47" l="1"/>
  <c r="AR36" i="47" s="1"/>
  <c r="AR9" i="47"/>
  <c r="AS10" i="47"/>
  <c r="AS37" i="47" l="1"/>
  <c r="AS36" i="47" s="1"/>
  <c r="AT10" i="47"/>
  <c r="AS9" i="47"/>
  <c r="AU10" i="47" l="1"/>
  <c r="AT9" i="47"/>
  <c r="AT37" i="47"/>
  <c r="AT36" i="47" s="1"/>
  <c r="AU37" i="47" l="1"/>
  <c r="AU36" i="47" s="1"/>
  <c r="AV10" i="47"/>
  <c r="AU9" i="47"/>
  <c r="AW10" i="47" l="1"/>
  <c r="AV37" i="47"/>
  <c r="AV36" i="47" s="1"/>
  <c r="AV9" i="47"/>
  <c r="AW37" i="47" l="1"/>
  <c r="AW36" i="47" s="1"/>
  <c r="AX10" i="47"/>
  <c r="AW9" i="47"/>
  <c r="AY10" i="47" l="1"/>
  <c r="AX37" i="47"/>
  <c r="AX36" i="47" s="1"/>
  <c r="AX9" i="47"/>
  <c r="AY37" i="47" l="1"/>
  <c r="AY36" i="47" s="1"/>
  <c r="AZ10" i="47"/>
  <c r="AY9" i="47"/>
  <c r="AZ37" i="47" l="1"/>
  <c r="AZ36" i="47" s="1"/>
  <c r="AZ9" i="47"/>
  <c r="BA10" i="47"/>
  <c r="BA37" i="47" l="1"/>
  <c r="BA36" i="47" s="1"/>
  <c r="BB10" i="47"/>
  <c r="BA9" i="47"/>
  <c r="BC10" i="47" l="1"/>
  <c r="BB9" i="47"/>
  <c r="BB37" i="47"/>
  <c r="BB36" i="47" s="1"/>
  <c r="BC37" i="47" l="1"/>
  <c r="BC36" i="47" s="1"/>
  <c r="BD10" i="47"/>
  <c r="BC9" i="47"/>
  <c r="BE10" i="47" l="1"/>
  <c r="BD37" i="47"/>
  <c r="BD36" i="47" s="1"/>
  <c r="BD9" i="47"/>
  <c r="BE37" i="47" l="1"/>
  <c r="BE36" i="47" s="1"/>
  <c r="BE9" i="47"/>
  <c r="BF10" i="47"/>
  <c r="BG10" i="47" l="1"/>
  <c r="BF37" i="47"/>
  <c r="BF36" i="47" s="1"/>
  <c r="BF9" i="47"/>
  <c r="BG37" i="47" l="1"/>
  <c r="BG36" i="47" s="1"/>
  <c r="BG9" i="47"/>
  <c r="BH10" i="47"/>
  <c r="BH37" i="47" l="1"/>
  <c r="BH36" i="47" s="1"/>
  <c r="BH9" i="47"/>
  <c r="BI10" i="47"/>
  <c r="BI37" i="47" l="1"/>
  <c r="BI36" i="47" s="1"/>
  <c r="BI9" i="47"/>
  <c r="BJ10" i="47"/>
  <c r="BK10" i="47" l="1"/>
  <c r="BJ37" i="47"/>
  <c r="BJ36" i="47" s="1"/>
  <c r="BJ9" i="47"/>
  <c r="BK37" i="47" l="1"/>
  <c r="BK36" i="47" s="1"/>
  <c r="BL10" i="47"/>
  <c r="BK9" i="47"/>
  <c r="BM10" i="47" l="1"/>
  <c r="BL9" i="47"/>
  <c r="BM9" i="47" l="1"/>
  <c r="BN10" i="47"/>
  <c r="BO10" i="47" l="1"/>
  <c r="BN9" i="47"/>
  <c r="BP10" i="47" l="1"/>
  <c r="BO9" i="47"/>
  <c r="BP9" i="47" l="1"/>
  <c r="BQ10" i="47"/>
  <c r="BR10" i="47" l="1"/>
  <c r="BQ9" i="47"/>
  <c r="BS10" i="47" l="1"/>
  <c r="BR9" i="47"/>
  <c r="BT10" i="47" l="1"/>
  <c r="BS9" i="47"/>
  <c r="BU10" i="47" l="1"/>
  <c r="BT9" i="47"/>
  <c r="BV10" i="47" l="1"/>
  <c r="BU9" i="47"/>
  <c r="BW10" i="47" l="1"/>
  <c r="BV9" i="47"/>
  <c r="BX10" i="47" l="1"/>
  <c r="BW9" i="47"/>
  <c r="BX9" i="47" l="1"/>
  <c r="BY10" i="47"/>
  <c r="BZ10" i="47" l="1"/>
  <c r="BY9" i="47"/>
  <c r="CA10" i="47" l="1"/>
  <c r="BZ9" i="47"/>
  <c r="CB10" i="47" l="1"/>
  <c r="CA9" i="47"/>
  <c r="CC10" i="47" l="1"/>
  <c r="CB9" i="47"/>
  <c r="CD10" i="47" l="1"/>
  <c r="CC9" i="47"/>
  <c r="CE10" i="47" l="1"/>
  <c r="CD9" i="47"/>
  <c r="CF10" i="47" l="1"/>
  <c r="CE9" i="47"/>
  <c r="CF9" i="47" l="1"/>
  <c r="CG10" i="47"/>
  <c r="CG9" i="47" l="1"/>
  <c r="CH10" i="47"/>
  <c r="CI10" i="47" l="1"/>
  <c r="CH9" i="47"/>
  <c r="CJ10" i="47" l="1"/>
  <c r="CI9" i="47"/>
  <c r="CK10" i="47" l="1"/>
  <c r="CJ9" i="47"/>
  <c r="CL10" i="47" l="1"/>
  <c r="CK9" i="47"/>
  <c r="CM10" i="47" l="1"/>
  <c r="CL9" i="47"/>
  <c r="CL37" i="47"/>
  <c r="CL36" i="47" s="1"/>
  <c r="CN10" i="47" l="1"/>
  <c r="CM9" i="47"/>
  <c r="CN9" i="47" l="1"/>
  <c r="CO10" i="47"/>
  <c r="CP10" i="47" l="1"/>
  <c r="CO9" i="47"/>
  <c r="CP37" i="47" l="1"/>
  <c r="CP36" i="47" s="1"/>
  <c r="CP9" i="47"/>
  <c r="O13" i="46" l="1"/>
  <c r="O14" i="46"/>
  <c r="O15" i="46"/>
  <c r="O17" i="46"/>
  <c r="O18" i="46"/>
  <c r="O9" i="46"/>
  <c r="A3" i="30"/>
  <c r="A4" i="30" s="1"/>
  <c r="A5" i="30" s="1"/>
  <c r="A6" i="30" s="1"/>
  <c r="A7" i="30" s="1"/>
  <c r="A8" i="30" s="1"/>
  <c r="A9" i="30" s="1"/>
  <c r="A10" i="30" s="1"/>
  <c r="A11" i="30" s="1"/>
  <c r="A12" i="30" s="1"/>
  <c r="A13" i="30" s="1"/>
  <c r="A14" i="30" s="1"/>
  <c r="A15" i="30" s="1"/>
  <c r="A16" i="30" s="1"/>
  <c r="A17" i="30" s="1"/>
  <c r="A18" i="30" s="1"/>
  <c r="A19" i="30" s="1"/>
  <c r="A20" i="30" s="1"/>
  <c r="A21" i="30" s="1"/>
  <c r="A22" i="30" s="1"/>
  <c r="A23" i="30" s="1"/>
  <c r="A24" i="30" s="1"/>
  <c r="A25" i="30" s="1"/>
  <c r="A26" i="30" s="1"/>
  <c r="A27" i="30" s="1"/>
  <c r="A28" i="30" s="1"/>
  <c r="A29" i="30" s="1"/>
  <c r="A30" i="30" s="1"/>
  <c r="A31" i="30" s="1"/>
  <c r="A32" i="30" s="1"/>
  <c r="A33" i="30" s="1"/>
  <c r="A34" i="30" s="1"/>
  <c r="A35" i="30" s="1"/>
  <c r="A36" i="30" s="1"/>
  <c r="A37" i="30" s="1"/>
  <c r="A38" i="30" s="1"/>
  <c r="A39" i="30" s="1"/>
  <c r="A40" i="30" s="1"/>
  <c r="A41" i="30" s="1"/>
  <c r="A42" i="30" s="1"/>
  <c r="A43" i="30" s="1"/>
  <c r="A44" i="30" s="1"/>
  <c r="A45" i="30" s="1"/>
  <c r="A46" i="30" s="1"/>
  <c r="A47" i="30" s="1"/>
  <c r="A48" i="30" s="1"/>
  <c r="A49" i="30" s="1"/>
  <c r="AE113" i="46"/>
  <c r="AC113" i="46"/>
  <c r="Y113" i="46"/>
  <c r="Z113" i="46" s="1"/>
  <c r="X113" i="46"/>
  <c r="O113" i="46"/>
  <c r="D113" i="46"/>
  <c r="C113" i="46"/>
  <c r="B113" i="46"/>
  <c r="AE112" i="46"/>
  <c r="AC112" i="46"/>
  <c r="Y112" i="46"/>
  <c r="Z112" i="46" s="1"/>
  <c r="X112" i="46"/>
  <c r="O112" i="46"/>
  <c r="D112" i="46"/>
  <c r="C112" i="46"/>
  <c r="B112" i="46"/>
  <c r="AE111" i="46"/>
  <c r="AC111" i="46"/>
  <c r="Y111" i="46"/>
  <c r="Z111" i="46" s="1"/>
  <c r="X111" i="46"/>
  <c r="O111" i="46"/>
  <c r="D111" i="46"/>
  <c r="C111" i="46"/>
  <c r="B111" i="46"/>
  <c r="AE110" i="46"/>
  <c r="AC110" i="46"/>
  <c r="Y110" i="46"/>
  <c r="Z110" i="46" s="1"/>
  <c r="X110" i="46"/>
  <c r="O110" i="46"/>
  <c r="D110" i="46"/>
  <c r="C110" i="46"/>
  <c r="B110" i="46"/>
  <c r="AE109" i="46"/>
  <c r="AC109" i="46"/>
  <c r="Y109" i="46"/>
  <c r="Z109" i="46" s="1"/>
  <c r="X109" i="46"/>
  <c r="O109" i="46"/>
  <c r="D109" i="46"/>
  <c r="C109" i="46"/>
  <c r="B109" i="46"/>
  <c r="AE108" i="46"/>
  <c r="AC108" i="46"/>
  <c r="Y108" i="46"/>
  <c r="Z108" i="46" s="1"/>
  <c r="X108" i="46"/>
  <c r="O108" i="46"/>
  <c r="D108" i="46"/>
  <c r="C108" i="46"/>
  <c r="B108" i="46"/>
  <c r="AE107" i="46"/>
  <c r="AC107" i="46"/>
  <c r="Y107" i="46"/>
  <c r="Z107" i="46" s="1"/>
  <c r="X107" i="46"/>
  <c r="O107" i="46"/>
  <c r="D107" i="46"/>
  <c r="C107" i="46"/>
  <c r="B107" i="46"/>
  <c r="AE106" i="46"/>
  <c r="AC106" i="46"/>
  <c r="Y106" i="46"/>
  <c r="Z106" i="46" s="1"/>
  <c r="X106" i="46"/>
  <c r="O106" i="46"/>
  <c r="D106" i="46"/>
  <c r="C106" i="46"/>
  <c r="B106" i="46"/>
  <c r="AE105" i="46"/>
  <c r="AC105" i="46"/>
  <c r="Y105" i="46"/>
  <c r="Z105" i="46" s="1"/>
  <c r="X105" i="46"/>
  <c r="O105" i="46"/>
  <c r="D105" i="46"/>
  <c r="C105" i="46"/>
  <c r="B105" i="46"/>
  <c r="AE104" i="46"/>
  <c r="AC104" i="46"/>
  <c r="Y104" i="46"/>
  <c r="Z104" i="46" s="1"/>
  <c r="X104" i="46"/>
  <c r="O104" i="46"/>
  <c r="D104" i="46"/>
  <c r="C104" i="46"/>
  <c r="B104" i="46"/>
  <c r="AE103" i="46"/>
  <c r="AC103" i="46"/>
  <c r="Y103" i="46"/>
  <c r="Z103" i="46" s="1"/>
  <c r="X103" i="46"/>
  <c r="O103" i="46"/>
  <c r="D103" i="46"/>
  <c r="C103" i="46"/>
  <c r="B103" i="46"/>
  <c r="AE102" i="46"/>
  <c r="AC102" i="46"/>
  <c r="Y102" i="46"/>
  <c r="Z102" i="46" s="1"/>
  <c r="X102" i="46"/>
  <c r="O102" i="46"/>
  <c r="D102" i="46"/>
  <c r="C102" i="46"/>
  <c r="B102" i="46"/>
  <c r="AE101" i="46"/>
  <c r="AC101" i="46"/>
  <c r="Y101" i="46"/>
  <c r="Z101" i="46" s="1"/>
  <c r="X101" i="46"/>
  <c r="O101" i="46"/>
  <c r="D101" i="46"/>
  <c r="C101" i="46"/>
  <c r="B101" i="46"/>
  <c r="AE100" i="46"/>
  <c r="AC100" i="46"/>
  <c r="Y100" i="46"/>
  <c r="Z100" i="46" s="1"/>
  <c r="X100" i="46"/>
  <c r="O100" i="46"/>
  <c r="D100" i="46"/>
  <c r="C100" i="46"/>
  <c r="B100" i="46"/>
  <c r="AE99" i="46"/>
  <c r="AC99" i="46"/>
  <c r="Y99" i="46"/>
  <c r="Z99" i="46" s="1"/>
  <c r="X99" i="46"/>
  <c r="O99" i="46"/>
  <c r="D99" i="46"/>
  <c r="C99" i="46"/>
  <c r="B99" i="46"/>
  <c r="AE98" i="46"/>
  <c r="AC98" i="46"/>
  <c r="Y98" i="46"/>
  <c r="Z98" i="46" s="1"/>
  <c r="X98" i="46"/>
  <c r="O98" i="46"/>
  <c r="D98" i="46"/>
  <c r="C98" i="46"/>
  <c r="B98" i="46"/>
  <c r="AE97" i="46"/>
  <c r="AC97" i="46"/>
  <c r="Y97" i="46"/>
  <c r="Z97" i="46" s="1"/>
  <c r="X97" i="46"/>
  <c r="O97" i="46"/>
  <c r="D97" i="46"/>
  <c r="C97" i="46"/>
  <c r="B97" i="46"/>
  <c r="AE96" i="46"/>
  <c r="AC96" i="46"/>
  <c r="Y96" i="46"/>
  <c r="Z96" i="46" s="1"/>
  <c r="X96" i="46"/>
  <c r="O96" i="46"/>
  <c r="D96" i="46"/>
  <c r="C96" i="46"/>
  <c r="B96" i="46"/>
  <c r="AE95" i="46"/>
  <c r="AC95" i="46"/>
  <c r="Y95" i="46"/>
  <c r="Z95" i="46" s="1"/>
  <c r="X95" i="46"/>
  <c r="O95" i="46"/>
  <c r="D95" i="46"/>
  <c r="C95" i="46"/>
  <c r="B95" i="46"/>
  <c r="AE94" i="46"/>
  <c r="AC94" i="46"/>
  <c r="Y94" i="46"/>
  <c r="Z94" i="46" s="1"/>
  <c r="X94" i="46"/>
  <c r="O94" i="46"/>
  <c r="D94" i="46"/>
  <c r="C94" i="46"/>
  <c r="B94" i="46"/>
  <c r="AE93" i="46"/>
  <c r="AC93" i="46"/>
  <c r="Y93" i="46"/>
  <c r="Z93" i="46" s="1"/>
  <c r="X93" i="46"/>
  <c r="O93" i="46"/>
  <c r="D93" i="46"/>
  <c r="C93" i="46"/>
  <c r="B93" i="46"/>
  <c r="AE92" i="46"/>
  <c r="AC92" i="46"/>
  <c r="Y92" i="46"/>
  <c r="Z92" i="46" s="1"/>
  <c r="X92" i="46"/>
  <c r="O92" i="46"/>
  <c r="D92" i="46"/>
  <c r="C92" i="46"/>
  <c r="B92" i="46"/>
  <c r="AE91" i="46"/>
  <c r="AC91" i="46"/>
  <c r="Y91" i="46"/>
  <c r="Z91" i="46" s="1"/>
  <c r="X91" i="46"/>
  <c r="O91" i="46"/>
  <c r="D91" i="46"/>
  <c r="C91" i="46"/>
  <c r="B91" i="46"/>
  <c r="AE90" i="46"/>
  <c r="AC90" i="46"/>
  <c r="Y90" i="46"/>
  <c r="Z90" i="46" s="1"/>
  <c r="X90" i="46"/>
  <c r="O90" i="46"/>
  <c r="D90" i="46"/>
  <c r="C90" i="46"/>
  <c r="B90" i="46"/>
  <c r="AE89" i="46"/>
  <c r="AC89" i="46"/>
  <c r="Y89" i="46"/>
  <c r="Z89" i="46" s="1"/>
  <c r="X89" i="46"/>
  <c r="O89" i="46"/>
  <c r="D89" i="46"/>
  <c r="C89" i="46"/>
  <c r="B89" i="46"/>
  <c r="AE88" i="46"/>
  <c r="AC88" i="46"/>
  <c r="Y88" i="46"/>
  <c r="Z88" i="46" s="1"/>
  <c r="X88" i="46"/>
  <c r="O88" i="46"/>
  <c r="D88" i="46"/>
  <c r="C88" i="46"/>
  <c r="B88" i="46"/>
  <c r="AE87" i="46"/>
  <c r="AC87" i="46"/>
  <c r="Y87" i="46"/>
  <c r="Z87" i="46" s="1"/>
  <c r="X87" i="46"/>
  <c r="O87" i="46"/>
  <c r="D87" i="46"/>
  <c r="C87" i="46"/>
  <c r="B87" i="46"/>
  <c r="AE86" i="46"/>
  <c r="AC86" i="46"/>
  <c r="Y86" i="46"/>
  <c r="Z86" i="46" s="1"/>
  <c r="X86" i="46"/>
  <c r="O86" i="46"/>
  <c r="D86" i="46"/>
  <c r="C86" i="46"/>
  <c r="B86" i="46"/>
  <c r="AE85" i="46"/>
  <c r="AC85" i="46"/>
  <c r="Y85" i="46"/>
  <c r="Z85" i="46" s="1"/>
  <c r="X85" i="46"/>
  <c r="O85" i="46"/>
  <c r="D85" i="46"/>
  <c r="C85" i="46"/>
  <c r="B85" i="46"/>
  <c r="AE84" i="46"/>
  <c r="AC84" i="46"/>
  <c r="Y84" i="46"/>
  <c r="Z84" i="46" s="1"/>
  <c r="X84" i="46"/>
  <c r="O84" i="46"/>
  <c r="D84" i="46"/>
  <c r="C84" i="46"/>
  <c r="B84" i="46"/>
  <c r="AE83" i="46"/>
  <c r="AC83" i="46"/>
  <c r="Y83" i="46"/>
  <c r="Z83" i="46" s="1"/>
  <c r="X83" i="46"/>
  <c r="O83" i="46"/>
  <c r="D83" i="46"/>
  <c r="C83" i="46"/>
  <c r="B83" i="46"/>
  <c r="AE82" i="46"/>
  <c r="AC82" i="46"/>
  <c r="Y82" i="46"/>
  <c r="Z82" i="46" s="1"/>
  <c r="X82" i="46"/>
  <c r="O82" i="46"/>
  <c r="D82" i="46"/>
  <c r="C82" i="46"/>
  <c r="B82" i="46"/>
  <c r="AE81" i="46"/>
  <c r="AC81" i="46"/>
  <c r="Y81" i="46"/>
  <c r="Z81" i="46" s="1"/>
  <c r="X81" i="46"/>
  <c r="O81" i="46"/>
  <c r="D81" i="46"/>
  <c r="C81" i="46"/>
  <c r="B81" i="46"/>
  <c r="AE80" i="46"/>
  <c r="AC80" i="46"/>
  <c r="Y80" i="46"/>
  <c r="Z80" i="46" s="1"/>
  <c r="X80" i="46"/>
  <c r="O80" i="46"/>
  <c r="D80" i="46"/>
  <c r="C80" i="46"/>
  <c r="B80" i="46"/>
  <c r="AE79" i="46"/>
  <c r="AC79" i="46"/>
  <c r="Y79" i="46"/>
  <c r="Z79" i="46" s="1"/>
  <c r="X79" i="46"/>
  <c r="O79" i="46"/>
  <c r="D79" i="46"/>
  <c r="C79" i="46"/>
  <c r="B79" i="46"/>
  <c r="AE78" i="46"/>
  <c r="AC78" i="46"/>
  <c r="Y78" i="46"/>
  <c r="Z78" i="46" s="1"/>
  <c r="X78" i="46"/>
  <c r="O78" i="46"/>
  <c r="D78" i="46"/>
  <c r="C78" i="46"/>
  <c r="B78" i="46"/>
  <c r="AE77" i="46"/>
  <c r="AC77" i="46"/>
  <c r="Y77" i="46"/>
  <c r="Z77" i="46" s="1"/>
  <c r="X77" i="46"/>
  <c r="O77" i="46"/>
  <c r="D77" i="46"/>
  <c r="C77" i="46"/>
  <c r="B77" i="46"/>
  <c r="AE76" i="46"/>
  <c r="AC76" i="46"/>
  <c r="Y76" i="46"/>
  <c r="Z76" i="46" s="1"/>
  <c r="X76" i="46"/>
  <c r="O76" i="46"/>
  <c r="D76" i="46"/>
  <c r="C76" i="46"/>
  <c r="B76" i="46"/>
  <c r="AE75" i="46"/>
  <c r="AC75" i="46"/>
  <c r="Y75" i="46"/>
  <c r="Z75" i="46" s="1"/>
  <c r="X75" i="46"/>
  <c r="O75" i="46"/>
  <c r="D75" i="46"/>
  <c r="C75" i="46"/>
  <c r="B75" i="46"/>
  <c r="AE74" i="46"/>
  <c r="AC74" i="46"/>
  <c r="Y74" i="46"/>
  <c r="Z74" i="46" s="1"/>
  <c r="X74" i="46"/>
  <c r="O74" i="46"/>
  <c r="D74" i="46"/>
  <c r="C74" i="46"/>
  <c r="B74" i="46"/>
  <c r="AE73" i="46"/>
  <c r="AC73" i="46"/>
  <c r="Y73" i="46"/>
  <c r="Z73" i="46" s="1"/>
  <c r="X73" i="46"/>
  <c r="O73" i="46"/>
  <c r="D73" i="46"/>
  <c r="C73" i="46"/>
  <c r="B73" i="46"/>
  <c r="AE72" i="46"/>
  <c r="AC72" i="46"/>
  <c r="Y72" i="46"/>
  <c r="Z72" i="46" s="1"/>
  <c r="X72" i="46"/>
  <c r="O72" i="46"/>
  <c r="D72" i="46"/>
  <c r="C72" i="46"/>
  <c r="B72" i="46"/>
  <c r="AE71" i="46"/>
  <c r="AC71" i="46"/>
  <c r="Y71" i="46"/>
  <c r="Z71" i="46" s="1"/>
  <c r="X71" i="46"/>
  <c r="O71" i="46"/>
  <c r="D71" i="46"/>
  <c r="C71" i="46"/>
  <c r="B71" i="46"/>
  <c r="AE70" i="46"/>
  <c r="AC70" i="46"/>
  <c r="Y70" i="46"/>
  <c r="Z70" i="46" s="1"/>
  <c r="X70" i="46"/>
  <c r="O70" i="46"/>
  <c r="D70" i="46"/>
  <c r="C70" i="46"/>
  <c r="B70" i="46"/>
  <c r="AE69" i="46"/>
  <c r="AC69" i="46"/>
  <c r="Y69" i="46"/>
  <c r="Z69" i="46" s="1"/>
  <c r="X69" i="46"/>
  <c r="O69" i="46"/>
  <c r="D69" i="46"/>
  <c r="C69" i="46"/>
  <c r="B69" i="46"/>
  <c r="AE68" i="46"/>
  <c r="AC68" i="46"/>
  <c r="Y68" i="46"/>
  <c r="Z68" i="46" s="1"/>
  <c r="X68" i="46"/>
  <c r="O68" i="46"/>
  <c r="D68" i="46"/>
  <c r="C68" i="46"/>
  <c r="B68" i="46"/>
  <c r="AE67" i="46"/>
  <c r="AC67" i="46"/>
  <c r="Y67" i="46"/>
  <c r="Z67" i="46" s="1"/>
  <c r="X67" i="46"/>
  <c r="O67" i="46"/>
  <c r="D67" i="46"/>
  <c r="C67" i="46"/>
  <c r="B67" i="46"/>
  <c r="AE66" i="46"/>
  <c r="AC66" i="46"/>
  <c r="Y66" i="46"/>
  <c r="Z66" i="46" s="1"/>
  <c r="X66" i="46"/>
  <c r="O66" i="46"/>
  <c r="D66" i="46"/>
  <c r="C66" i="46"/>
  <c r="B66" i="46"/>
  <c r="AE65" i="46"/>
  <c r="AC65" i="46"/>
  <c r="Y65" i="46"/>
  <c r="Z65" i="46" s="1"/>
  <c r="X65" i="46"/>
  <c r="O65" i="46"/>
  <c r="D65" i="46"/>
  <c r="C65" i="46"/>
  <c r="B65" i="46"/>
  <c r="AE64" i="46"/>
  <c r="AC64" i="46"/>
  <c r="Y64" i="46"/>
  <c r="Z64" i="46" s="1"/>
  <c r="X64" i="46"/>
  <c r="O64" i="46"/>
  <c r="D64" i="46"/>
  <c r="C64" i="46"/>
  <c r="B64" i="46"/>
  <c r="AE63" i="46"/>
  <c r="AC63" i="46"/>
  <c r="Y63" i="46"/>
  <c r="Z63" i="46" s="1"/>
  <c r="X63" i="46"/>
  <c r="O63" i="46"/>
  <c r="D63" i="46"/>
  <c r="C63" i="46"/>
  <c r="B63" i="46"/>
  <c r="AE62" i="46"/>
  <c r="AC62" i="46"/>
  <c r="Y62" i="46"/>
  <c r="Z62" i="46" s="1"/>
  <c r="X62" i="46"/>
  <c r="O62" i="46"/>
  <c r="D62" i="46"/>
  <c r="C62" i="46"/>
  <c r="B62" i="46"/>
  <c r="AE61" i="46"/>
  <c r="AC61" i="46"/>
  <c r="Y61" i="46"/>
  <c r="Z61" i="46" s="1"/>
  <c r="X61" i="46"/>
  <c r="O61" i="46"/>
  <c r="D61" i="46"/>
  <c r="C61" i="46"/>
  <c r="B61" i="46"/>
  <c r="AE60" i="46"/>
  <c r="AC60" i="46"/>
  <c r="Y60" i="46"/>
  <c r="Z60" i="46" s="1"/>
  <c r="X60" i="46"/>
  <c r="O60" i="46"/>
  <c r="D60" i="46"/>
  <c r="C60" i="46"/>
  <c r="B60" i="46"/>
  <c r="AE59" i="46"/>
  <c r="AC59" i="46"/>
  <c r="Y59" i="46"/>
  <c r="Z59" i="46" s="1"/>
  <c r="X59" i="46"/>
  <c r="O59" i="46"/>
  <c r="D59" i="46"/>
  <c r="C59" i="46"/>
  <c r="B59" i="46"/>
  <c r="AE58" i="46"/>
  <c r="AC58" i="46"/>
  <c r="Y58" i="46"/>
  <c r="Z58" i="46" s="1"/>
  <c r="X58" i="46"/>
  <c r="O58" i="46"/>
  <c r="D58" i="46"/>
  <c r="C58" i="46"/>
  <c r="B58" i="46"/>
  <c r="AE57" i="46"/>
  <c r="AC57" i="46"/>
  <c r="Y57" i="46"/>
  <c r="Z57" i="46" s="1"/>
  <c r="X57" i="46"/>
  <c r="O57" i="46"/>
  <c r="D57" i="46"/>
  <c r="C57" i="46"/>
  <c r="B57" i="46"/>
  <c r="AE56" i="46"/>
  <c r="AC56" i="46"/>
  <c r="Y56" i="46"/>
  <c r="Z56" i="46" s="1"/>
  <c r="X56" i="46"/>
  <c r="O56" i="46"/>
  <c r="D56" i="46"/>
  <c r="C56" i="46"/>
  <c r="B56" i="46"/>
  <c r="AE55" i="46"/>
  <c r="AC55" i="46"/>
  <c r="Y55" i="46"/>
  <c r="Z55" i="46" s="1"/>
  <c r="X55" i="46"/>
  <c r="O55" i="46"/>
  <c r="D55" i="46"/>
  <c r="C55" i="46"/>
  <c r="B55" i="46"/>
  <c r="AE54" i="46"/>
  <c r="AC54" i="46"/>
  <c r="Y54" i="46"/>
  <c r="Z54" i="46" s="1"/>
  <c r="X54" i="46"/>
  <c r="O54" i="46"/>
  <c r="D54" i="46"/>
  <c r="C54" i="46"/>
  <c r="B54" i="46"/>
  <c r="AE53" i="46"/>
  <c r="AC53" i="46"/>
  <c r="Y53" i="46"/>
  <c r="Z53" i="46" s="1"/>
  <c r="X53" i="46"/>
  <c r="O53" i="46"/>
  <c r="D53" i="46"/>
  <c r="C53" i="46"/>
  <c r="B53" i="46"/>
  <c r="AE52" i="46"/>
  <c r="AC52" i="46"/>
  <c r="Y52" i="46"/>
  <c r="Z52" i="46" s="1"/>
  <c r="X52" i="46"/>
  <c r="O52" i="46"/>
  <c r="D52" i="46"/>
  <c r="C52" i="46"/>
  <c r="B52" i="46"/>
  <c r="AE51" i="46"/>
  <c r="AC51" i="46"/>
  <c r="Y51" i="46"/>
  <c r="Z51" i="46" s="1"/>
  <c r="X51" i="46"/>
  <c r="O51" i="46"/>
  <c r="D51" i="46"/>
  <c r="C51" i="46"/>
  <c r="B51" i="46"/>
  <c r="AE50" i="46"/>
  <c r="AC50" i="46"/>
  <c r="Y50" i="46"/>
  <c r="Z50" i="46" s="1"/>
  <c r="X50" i="46"/>
  <c r="O50" i="46"/>
  <c r="D50" i="46"/>
  <c r="C50" i="46"/>
  <c r="B50" i="46"/>
  <c r="AE49" i="46"/>
  <c r="AC49" i="46"/>
  <c r="Y49" i="46"/>
  <c r="Z49" i="46" s="1"/>
  <c r="X49" i="46"/>
  <c r="O49" i="46"/>
  <c r="D49" i="46"/>
  <c r="C49" i="46"/>
  <c r="B49" i="46"/>
  <c r="AE48" i="46"/>
  <c r="AC48" i="46"/>
  <c r="Y48" i="46"/>
  <c r="Z48" i="46" s="1"/>
  <c r="X48" i="46"/>
  <c r="O48" i="46"/>
  <c r="D48" i="46"/>
  <c r="C48" i="46"/>
  <c r="B48" i="46"/>
  <c r="AE47" i="46"/>
  <c r="AC47" i="46"/>
  <c r="Y47" i="46"/>
  <c r="Z47" i="46" s="1"/>
  <c r="X47" i="46"/>
  <c r="O47" i="46"/>
  <c r="D47" i="46"/>
  <c r="C47" i="46"/>
  <c r="B47" i="46"/>
  <c r="AE46" i="46"/>
  <c r="AC46" i="46"/>
  <c r="Y46" i="46"/>
  <c r="Z46" i="46" s="1"/>
  <c r="X46" i="46"/>
  <c r="O46" i="46"/>
  <c r="D46" i="46"/>
  <c r="C46" i="46"/>
  <c r="B46" i="46"/>
  <c r="AE45" i="46"/>
  <c r="AC45" i="46"/>
  <c r="Y45" i="46"/>
  <c r="Z45" i="46" s="1"/>
  <c r="X45" i="46"/>
  <c r="O45" i="46"/>
  <c r="D45" i="46"/>
  <c r="C45" i="46"/>
  <c r="B45" i="46"/>
  <c r="AE44" i="46"/>
  <c r="AC44" i="46"/>
  <c r="Y44" i="46"/>
  <c r="Z44" i="46" s="1"/>
  <c r="X44" i="46"/>
  <c r="O44" i="46"/>
  <c r="D44" i="46"/>
  <c r="C44" i="46"/>
  <c r="B44" i="46"/>
  <c r="AE43" i="46"/>
  <c r="AC43" i="46"/>
  <c r="Y43" i="46"/>
  <c r="Z43" i="46" s="1"/>
  <c r="X43" i="46"/>
  <c r="O43" i="46"/>
  <c r="D43" i="46"/>
  <c r="C43" i="46"/>
  <c r="B43" i="46"/>
  <c r="AE42" i="46"/>
  <c r="AC42" i="46"/>
  <c r="Y42" i="46"/>
  <c r="Z42" i="46" s="1"/>
  <c r="X42" i="46"/>
  <c r="O42" i="46"/>
  <c r="D42" i="46"/>
  <c r="C42" i="46"/>
  <c r="B42" i="46"/>
  <c r="AE41" i="46"/>
  <c r="AC41" i="46"/>
  <c r="Y41" i="46"/>
  <c r="Z41" i="46" s="1"/>
  <c r="X41" i="46"/>
  <c r="O41" i="46"/>
  <c r="D41" i="46"/>
  <c r="C41" i="46"/>
  <c r="B41" i="46"/>
  <c r="AE40" i="46"/>
  <c r="AC40" i="46"/>
  <c r="Y40" i="46"/>
  <c r="Z40" i="46" s="1"/>
  <c r="X40" i="46"/>
  <c r="O40" i="46"/>
  <c r="D40" i="46"/>
  <c r="C40" i="46"/>
  <c r="B40" i="46"/>
  <c r="AE39" i="46"/>
  <c r="AC39" i="46"/>
  <c r="Y39" i="46"/>
  <c r="Z39" i="46" s="1"/>
  <c r="X39" i="46"/>
  <c r="O39" i="46"/>
  <c r="D39" i="46"/>
  <c r="C39" i="46"/>
  <c r="B39" i="46"/>
  <c r="AE38" i="46"/>
  <c r="AC38" i="46"/>
  <c r="Y38" i="46"/>
  <c r="Z38" i="46" s="1"/>
  <c r="X38" i="46"/>
  <c r="O38" i="46"/>
  <c r="D38" i="46"/>
  <c r="C38" i="46"/>
  <c r="B38" i="46"/>
  <c r="AE37" i="46"/>
  <c r="AC37" i="46"/>
  <c r="Y37" i="46"/>
  <c r="Z37" i="46" s="1"/>
  <c r="X37" i="46"/>
  <c r="O37" i="46"/>
  <c r="D37" i="46"/>
  <c r="C37" i="46"/>
  <c r="B37" i="46"/>
  <c r="AE36" i="46"/>
  <c r="AC36" i="46"/>
  <c r="Y36" i="46"/>
  <c r="Z36" i="46" s="1"/>
  <c r="X36" i="46"/>
  <c r="O36" i="46"/>
  <c r="D36" i="46"/>
  <c r="C36" i="46"/>
  <c r="B36" i="46"/>
  <c r="AE35" i="46"/>
  <c r="AC35" i="46"/>
  <c r="Y35" i="46"/>
  <c r="Z35" i="46" s="1"/>
  <c r="X35" i="46"/>
  <c r="O35" i="46"/>
  <c r="D35" i="46"/>
  <c r="C35" i="46"/>
  <c r="B35" i="46"/>
  <c r="AE34" i="46"/>
  <c r="AC34" i="46"/>
  <c r="Y34" i="46"/>
  <c r="Z34" i="46" s="1"/>
  <c r="X34" i="46"/>
  <c r="O34" i="46"/>
  <c r="D34" i="46"/>
  <c r="C34" i="46"/>
  <c r="B34" i="46"/>
  <c r="AE33" i="46"/>
  <c r="AC33" i="46"/>
  <c r="Y33" i="46"/>
  <c r="Z33" i="46" s="1"/>
  <c r="X33" i="46"/>
  <c r="O33" i="46"/>
  <c r="D33" i="46"/>
  <c r="C33" i="46"/>
  <c r="B33" i="46"/>
  <c r="AE32" i="46"/>
  <c r="AC32" i="46"/>
  <c r="Y32" i="46"/>
  <c r="Z32" i="46" s="1"/>
  <c r="X32" i="46"/>
  <c r="O32" i="46"/>
  <c r="D32" i="46"/>
  <c r="C32" i="46"/>
  <c r="B32" i="46"/>
  <c r="AE31" i="46"/>
  <c r="AC31" i="46"/>
  <c r="Y31" i="46"/>
  <c r="Z31" i="46" s="1"/>
  <c r="X31" i="46"/>
  <c r="O31" i="46"/>
  <c r="D31" i="46"/>
  <c r="C31" i="46"/>
  <c r="B31" i="46"/>
  <c r="AE30" i="46"/>
  <c r="AC30" i="46"/>
  <c r="Y30" i="46"/>
  <c r="Z30" i="46" s="1"/>
  <c r="X30" i="46"/>
  <c r="O30" i="46"/>
  <c r="D30" i="46"/>
  <c r="C30" i="46"/>
  <c r="B30" i="46"/>
  <c r="AE29" i="46"/>
  <c r="AC29" i="46"/>
  <c r="Y29" i="46"/>
  <c r="Z29" i="46" s="1"/>
  <c r="X29" i="46"/>
  <c r="O29" i="46"/>
  <c r="D29" i="46"/>
  <c r="C29" i="46"/>
  <c r="B29" i="46"/>
  <c r="AE28" i="46"/>
  <c r="AC28" i="46"/>
  <c r="Y28" i="46"/>
  <c r="Z28" i="46" s="1"/>
  <c r="X28" i="46"/>
  <c r="O28" i="46"/>
  <c r="D28" i="46"/>
  <c r="C28" i="46"/>
  <c r="B28" i="46"/>
  <c r="AE27" i="46"/>
  <c r="AC27" i="46"/>
  <c r="Y27" i="46"/>
  <c r="Z27" i="46" s="1"/>
  <c r="X27" i="46"/>
  <c r="O27" i="46"/>
  <c r="D27" i="46"/>
  <c r="C27" i="46"/>
  <c r="B27" i="46"/>
  <c r="AE26" i="46"/>
  <c r="AC26" i="46"/>
  <c r="Y26" i="46"/>
  <c r="Z26" i="46" s="1"/>
  <c r="X26" i="46"/>
  <c r="O26" i="46"/>
  <c r="D26" i="46"/>
  <c r="C26" i="46"/>
  <c r="B26" i="46"/>
  <c r="AE25" i="46"/>
  <c r="AC25" i="46"/>
  <c r="Y25" i="46"/>
  <c r="Z25" i="46" s="1"/>
  <c r="X25" i="46"/>
  <c r="O25" i="46"/>
  <c r="D25" i="46"/>
  <c r="C25" i="46"/>
  <c r="B25" i="46"/>
  <c r="AE24" i="46"/>
  <c r="AC24" i="46"/>
  <c r="Y24" i="46"/>
  <c r="Z24" i="46" s="1"/>
  <c r="X24" i="46"/>
  <c r="O24" i="46"/>
  <c r="D24" i="46"/>
  <c r="C24" i="46"/>
  <c r="B24" i="46"/>
  <c r="AE23" i="46"/>
  <c r="AC23" i="46"/>
  <c r="Y23" i="46"/>
  <c r="Z23" i="46" s="1"/>
  <c r="X23" i="46"/>
  <c r="O23" i="46"/>
  <c r="D23" i="46"/>
  <c r="C23" i="46"/>
  <c r="B23" i="46"/>
  <c r="AE22" i="46"/>
  <c r="AC22" i="46"/>
  <c r="Y22" i="46"/>
  <c r="Z22" i="46" s="1"/>
  <c r="X22" i="46"/>
  <c r="O22" i="46"/>
  <c r="D22" i="46"/>
  <c r="C22" i="46"/>
  <c r="B22" i="46"/>
  <c r="AE21" i="46"/>
  <c r="AC21" i="46"/>
  <c r="Y21" i="46"/>
  <c r="Z21" i="46" s="1"/>
  <c r="X21" i="46"/>
  <c r="O21" i="46"/>
  <c r="D21" i="46"/>
  <c r="C21" i="46"/>
  <c r="B21" i="46"/>
  <c r="AC20" i="46"/>
  <c r="Y20" i="46"/>
  <c r="Z20" i="46" s="1"/>
  <c r="X20" i="46"/>
  <c r="D20" i="46"/>
  <c r="C20" i="46"/>
  <c r="B20" i="46"/>
  <c r="AC19" i="46"/>
  <c r="Y19" i="46"/>
  <c r="Z19" i="46" s="1"/>
  <c r="X19" i="46"/>
  <c r="D19" i="46"/>
  <c r="C19" i="46"/>
  <c r="B19" i="46"/>
  <c r="D18" i="46"/>
  <c r="C18" i="46"/>
  <c r="B18" i="46"/>
  <c r="AC17" i="46"/>
  <c r="Y17" i="46"/>
  <c r="Z17" i="46" s="1"/>
  <c r="X17" i="46"/>
  <c r="D17" i="46"/>
  <c r="C17" i="46"/>
  <c r="B17" i="46"/>
  <c r="AC15" i="46"/>
  <c r="Y15" i="46"/>
  <c r="Z15" i="46" s="1"/>
  <c r="X15" i="46"/>
  <c r="D15" i="46"/>
  <c r="C15" i="46"/>
  <c r="B15" i="46"/>
  <c r="AC14" i="46"/>
  <c r="Y14" i="46"/>
  <c r="Z14" i="46" s="1"/>
  <c r="X14" i="46"/>
  <c r="D14" i="46"/>
  <c r="C14" i="46"/>
  <c r="B14" i="46"/>
  <c r="AC13" i="46"/>
  <c r="Y13" i="46"/>
  <c r="Z13" i="46" s="1"/>
  <c r="X13" i="46"/>
  <c r="D13" i="46"/>
  <c r="C13" i="46"/>
  <c r="B13" i="46"/>
  <c r="AC12" i="46"/>
  <c r="Y12" i="46"/>
  <c r="Z12" i="46" s="1"/>
  <c r="X12" i="46"/>
  <c r="D12" i="46"/>
  <c r="C12" i="46"/>
  <c r="B12" i="46"/>
  <c r="AC11" i="46"/>
  <c r="Y11" i="46"/>
  <c r="Z11" i="46" s="1"/>
  <c r="X11" i="46"/>
  <c r="D11" i="46"/>
  <c r="C11" i="46"/>
  <c r="B11" i="46"/>
  <c r="AC10" i="46"/>
  <c r="Y10" i="46"/>
  <c r="Z10" i="46" s="1"/>
  <c r="X10" i="46"/>
  <c r="D10" i="46"/>
  <c r="C10" i="46"/>
  <c r="B10" i="46"/>
  <c r="AC9" i="46"/>
  <c r="Y9" i="46"/>
  <c r="Z9" i="46" s="1"/>
  <c r="D9" i="46"/>
  <c r="C9" i="46"/>
  <c r="B9" i="46"/>
  <c r="AG5" i="46"/>
  <c r="AG4" i="46"/>
  <c r="AG3" i="46"/>
  <c r="AG2" i="46"/>
  <c r="AG1" i="46"/>
  <c r="AA108" i="46" l="1"/>
  <c r="AB108" i="46" s="1"/>
  <c r="AF108" i="46" s="1"/>
  <c r="AA92" i="46"/>
  <c r="AB92" i="46" s="1"/>
  <c r="AF92" i="46" s="1"/>
  <c r="AA98" i="46"/>
  <c r="AB98" i="46" s="1"/>
  <c r="AD98" i="46" s="1"/>
  <c r="AA97" i="46"/>
  <c r="AB97" i="46" s="1"/>
  <c r="AF97" i="46" s="1"/>
  <c r="AA101" i="46"/>
  <c r="AB101" i="46" s="1"/>
  <c r="AD101" i="46" s="1"/>
  <c r="AA94" i="46"/>
  <c r="AB94" i="46" s="1"/>
  <c r="AD94" i="46" s="1"/>
  <c r="AA96" i="46"/>
  <c r="AB96" i="46" s="1"/>
  <c r="AF96" i="46" s="1"/>
  <c r="AA102" i="46"/>
  <c r="AB102" i="46" s="1"/>
  <c r="AD102" i="46" s="1"/>
  <c r="AA93" i="46"/>
  <c r="AB93" i="46" s="1"/>
  <c r="AF93" i="46" s="1"/>
  <c r="AA109" i="46"/>
  <c r="AB109" i="46" s="1"/>
  <c r="AD109" i="46" s="1"/>
  <c r="AA84" i="46"/>
  <c r="AB84" i="46" s="1"/>
  <c r="AF84" i="46" s="1"/>
  <c r="AA104" i="46"/>
  <c r="AB104" i="46" s="1"/>
  <c r="AF104" i="46" s="1"/>
  <c r="AA82" i="46"/>
  <c r="AB82" i="46" s="1"/>
  <c r="AF82" i="46" s="1"/>
  <c r="AA73" i="46"/>
  <c r="AB73" i="46" s="1"/>
  <c r="AD73" i="46" s="1"/>
  <c r="AA113" i="46"/>
  <c r="AB113" i="46" s="1"/>
  <c r="AD113" i="46" s="1"/>
  <c r="AA105" i="46"/>
  <c r="AB105" i="46" s="1"/>
  <c r="AD105" i="46" s="1"/>
  <c r="AA20" i="46"/>
  <c r="AK20" i="46" s="1"/>
  <c r="AA40" i="46"/>
  <c r="AB40" i="46" s="1"/>
  <c r="AF40" i="46" s="1"/>
  <c r="AA50" i="46"/>
  <c r="AB50" i="46" s="1"/>
  <c r="AD50" i="46" s="1"/>
  <c r="AA58" i="46"/>
  <c r="AB58" i="46" s="1"/>
  <c r="AD58" i="46" s="1"/>
  <c r="AA62" i="46"/>
  <c r="AB62" i="46" s="1"/>
  <c r="AD62" i="46" s="1"/>
  <c r="AA66" i="46"/>
  <c r="AB66" i="46" s="1"/>
  <c r="AD66" i="46" s="1"/>
  <c r="AA70" i="46"/>
  <c r="AB70" i="46" s="1"/>
  <c r="AF70" i="46" s="1"/>
  <c r="AA74" i="46"/>
  <c r="AB74" i="46" s="1"/>
  <c r="AD74" i="46" s="1"/>
  <c r="AA80" i="46"/>
  <c r="AB80" i="46" s="1"/>
  <c r="AD80" i="46" s="1"/>
  <c r="AA53" i="46"/>
  <c r="AB53" i="46" s="1"/>
  <c r="AF53" i="46" s="1"/>
  <c r="AA42" i="46"/>
  <c r="AB42" i="46" s="1"/>
  <c r="AD42" i="46" s="1"/>
  <c r="AA45" i="46"/>
  <c r="AB45" i="46" s="1"/>
  <c r="AD45" i="46" s="1"/>
  <c r="AA54" i="46"/>
  <c r="AB54" i="46" s="1"/>
  <c r="AF54" i="46" s="1"/>
  <c r="AA106" i="46"/>
  <c r="AB106" i="46" s="1"/>
  <c r="AD106" i="46" s="1"/>
  <c r="AA41" i="46"/>
  <c r="AB41" i="46" s="1"/>
  <c r="AF41" i="46" s="1"/>
  <c r="AA17" i="46"/>
  <c r="AK17" i="46" s="1"/>
  <c r="AA46" i="46"/>
  <c r="AB46" i="46" s="1"/>
  <c r="AD46" i="46" s="1"/>
  <c r="AA77" i="46"/>
  <c r="AB77" i="46" s="1"/>
  <c r="AD77" i="46" s="1"/>
  <c r="AA78" i="46"/>
  <c r="AB78" i="46" s="1"/>
  <c r="AF78" i="46" s="1"/>
  <c r="AA88" i="46"/>
  <c r="AB88" i="46" s="1"/>
  <c r="AF88" i="46" s="1"/>
  <c r="AA81" i="46"/>
  <c r="AB81" i="46" s="1"/>
  <c r="AD81" i="46" s="1"/>
  <c r="AA21" i="46"/>
  <c r="AB21" i="46" s="1"/>
  <c r="AD21" i="46" s="1"/>
  <c r="AA31" i="46"/>
  <c r="AB31" i="46" s="1"/>
  <c r="AF31" i="46" s="1"/>
  <c r="AA33" i="46"/>
  <c r="AB33" i="46" s="1"/>
  <c r="AF33" i="46" s="1"/>
  <c r="AA110" i="46"/>
  <c r="AB110" i="46" s="1"/>
  <c r="AF110" i="46" s="1"/>
  <c r="AA35" i="46"/>
  <c r="AB35" i="46" s="1"/>
  <c r="AF35" i="46" s="1"/>
  <c r="AA37" i="46"/>
  <c r="AB37" i="46" s="1"/>
  <c r="AD37" i="46" s="1"/>
  <c r="AA89" i="46"/>
  <c r="AB89" i="46" s="1"/>
  <c r="AD89" i="46" s="1"/>
  <c r="AA29" i="46"/>
  <c r="AB29" i="46" s="1"/>
  <c r="AD29" i="46" s="1"/>
  <c r="AA85" i="46"/>
  <c r="AB85" i="46" s="1"/>
  <c r="AD85" i="46" s="1"/>
  <c r="AA107" i="46"/>
  <c r="AB107" i="46" s="1"/>
  <c r="AF107" i="46" s="1"/>
  <c r="AA38" i="46"/>
  <c r="AB38" i="46" s="1"/>
  <c r="AD38" i="46" s="1"/>
  <c r="AA56" i="46"/>
  <c r="AB56" i="46" s="1"/>
  <c r="AF56" i="46" s="1"/>
  <c r="AA112" i="46"/>
  <c r="AB112" i="46" s="1"/>
  <c r="AF112" i="46" s="1"/>
  <c r="AA61" i="46"/>
  <c r="AB61" i="46" s="1"/>
  <c r="AD61" i="46" s="1"/>
  <c r="AA34" i="46"/>
  <c r="AB34" i="46" s="1"/>
  <c r="AF34" i="46" s="1"/>
  <c r="AA26" i="46"/>
  <c r="AB26" i="46" s="1"/>
  <c r="AD26" i="46" s="1"/>
  <c r="AA83" i="46"/>
  <c r="AB83" i="46" s="1"/>
  <c r="AF83" i="46" s="1"/>
  <c r="AA100" i="46"/>
  <c r="AB100" i="46" s="1"/>
  <c r="AF100" i="46" s="1"/>
  <c r="AA15" i="46"/>
  <c r="AB15" i="46" s="1"/>
  <c r="AD15" i="46" s="1"/>
  <c r="AA32" i="46"/>
  <c r="AB32" i="46" s="1"/>
  <c r="AF32" i="46" s="1"/>
  <c r="AA57" i="46"/>
  <c r="AB57" i="46" s="1"/>
  <c r="AF57" i="46" s="1"/>
  <c r="AA59" i="46"/>
  <c r="AB59" i="46" s="1"/>
  <c r="AD59" i="46" s="1"/>
  <c r="AA90" i="46"/>
  <c r="AB90" i="46" s="1"/>
  <c r="AD90" i="46" s="1"/>
  <c r="AA91" i="46"/>
  <c r="AB91" i="46" s="1"/>
  <c r="AF91" i="46" s="1"/>
  <c r="AA60" i="46"/>
  <c r="AB60" i="46" s="1"/>
  <c r="AF60" i="46" s="1"/>
  <c r="AA72" i="46"/>
  <c r="AB72" i="46" s="1"/>
  <c r="AD72" i="46" s="1"/>
  <c r="AA75" i="46"/>
  <c r="AB75" i="46" s="1"/>
  <c r="AF75" i="46" s="1"/>
  <c r="AA76" i="46"/>
  <c r="AB76" i="46" s="1"/>
  <c r="AD76" i="46" s="1"/>
  <c r="AA23" i="46"/>
  <c r="AB23" i="46" s="1"/>
  <c r="AD23" i="46" s="1"/>
  <c r="AA36" i="46"/>
  <c r="AB36" i="46" s="1"/>
  <c r="AD36" i="46" s="1"/>
  <c r="AA63" i="46"/>
  <c r="AB63" i="46" s="1"/>
  <c r="AD63" i="46" s="1"/>
  <c r="AA22" i="46"/>
  <c r="AB22" i="46" s="1"/>
  <c r="AF22" i="46" s="1"/>
  <c r="AA14" i="46"/>
  <c r="AB14" i="46" s="1"/>
  <c r="AD14" i="46" s="1"/>
  <c r="AA25" i="46"/>
  <c r="AB25" i="46" s="1"/>
  <c r="AD25" i="46" s="1"/>
  <c r="AA27" i="46"/>
  <c r="AB27" i="46" s="1"/>
  <c r="AF27" i="46" s="1"/>
  <c r="AA30" i="46"/>
  <c r="AB30" i="46" s="1"/>
  <c r="AD30" i="46" s="1"/>
  <c r="AA11" i="46"/>
  <c r="AK11" i="46" s="1"/>
  <c r="AA12" i="46"/>
  <c r="AK12" i="46" s="1"/>
  <c r="AA13" i="46"/>
  <c r="AA28" i="46"/>
  <c r="AB28" i="46" s="1"/>
  <c r="AD28" i="46" s="1"/>
  <c r="AA39" i="46"/>
  <c r="AB39" i="46" s="1"/>
  <c r="AF39" i="46" s="1"/>
  <c r="AA65" i="46"/>
  <c r="AB65" i="46" s="1"/>
  <c r="AF65" i="46" s="1"/>
  <c r="AA67" i="46"/>
  <c r="AB67" i="46" s="1"/>
  <c r="AD67" i="46" s="1"/>
  <c r="AA19" i="46"/>
  <c r="AK19" i="46" s="1"/>
  <c r="AA43" i="46"/>
  <c r="AB43" i="46" s="1"/>
  <c r="AD43" i="46" s="1"/>
  <c r="AA44" i="46"/>
  <c r="AB44" i="46" s="1"/>
  <c r="AF44" i="46" s="1"/>
  <c r="AA47" i="46"/>
  <c r="AB47" i="46" s="1"/>
  <c r="AD47" i="46" s="1"/>
  <c r="AA48" i="46"/>
  <c r="AB48" i="46" s="1"/>
  <c r="AD48" i="46" s="1"/>
  <c r="AA68" i="46"/>
  <c r="AB68" i="46" s="1"/>
  <c r="AF68" i="46" s="1"/>
  <c r="AA49" i="46"/>
  <c r="AB49" i="46" s="1"/>
  <c r="AF49" i="46" s="1"/>
  <c r="AA51" i="46"/>
  <c r="AB51" i="46" s="1"/>
  <c r="AD51" i="46" s="1"/>
  <c r="AA52" i="46"/>
  <c r="AB52" i="46" s="1"/>
  <c r="AF52" i="46" s="1"/>
  <c r="AA55" i="46"/>
  <c r="AB55" i="46" s="1"/>
  <c r="AD55" i="46" s="1"/>
  <c r="AA69" i="46"/>
  <c r="AB69" i="46" s="1"/>
  <c r="AF69" i="46" s="1"/>
  <c r="AA71" i="46"/>
  <c r="AB71" i="46" s="1"/>
  <c r="AF71" i="46" s="1"/>
  <c r="AA86" i="46"/>
  <c r="AB86" i="46" s="1"/>
  <c r="AD86" i="46" s="1"/>
  <c r="AA99" i="46"/>
  <c r="AB99" i="46" s="1"/>
  <c r="AF99" i="46" s="1"/>
  <c r="R114" i="46"/>
  <c r="X9" i="46"/>
  <c r="AA10" i="46"/>
  <c r="AA24" i="46"/>
  <c r="AB24" i="46" s="1"/>
  <c r="AF24" i="46" s="1"/>
  <c r="AA64" i="46"/>
  <c r="AB64" i="46" s="1"/>
  <c r="AF64" i="46" s="1"/>
  <c r="AA111" i="46"/>
  <c r="AB111" i="46" s="1"/>
  <c r="AD111" i="46" s="1"/>
  <c r="AF98" i="46"/>
  <c r="AA79" i="46"/>
  <c r="AB79" i="46" s="1"/>
  <c r="AD79" i="46" s="1"/>
  <c r="AA87" i="46"/>
  <c r="AB87" i="46" s="1"/>
  <c r="AD87" i="46" s="1"/>
  <c r="AA95" i="46"/>
  <c r="AB95" i="46" s="1"/>
  <c r="AD95" i="46" s="1"/>
  <c r="AA103" i="46"/>
  <c r="AB103" i="46" s="1"/>
  <c r="AD103" i="46" s="1"/>
  <c r="AB13" i="46" l="1"/>
  <c r="AD13" i="46"/>
  <c r="AF101" i="46"/>
  <c r="AD92" i="46"/>
  <c r="AG92" i="46" s="1"/>
  <c r="AD82" i="46"/>
  <c r="AG82" i="46" s="1"/>
  <c r="AF94" i="46"/>
  <c r="AG94" i="46" s="1"/>
  <c r="AD93" i="46"/>
  <c r="AG93" i="46" s="1"/>
  <c r="AD97" i="46"/>
  <c r="AG97" i="46" s="1"/>
  <c r="AD108" i="46"/>
  <c r="AG108" i="46" s="1"/>
  <c r="AD96" i="46"/>
  <c r="AG96" i="46" s="1"/>
  <c r="AF109" i="46"/>
  <c r="AG109" i="46" s="1"/>
  <c r="AF102" i="46"/>
  <c r="AG102" i="46" s="1"/>
  <c r="AD104" i="46"/>
  <c r="AG104" i="46" s="1"/>
  <c r="AF105" i="46"/>
  <c r="AG105" i="46" s="1"/>
  <c r="AD84" i="46"/>
  <c r="AG84" i="46" s="1"/>
  <c r="AF73" i="46"/>
  <c r="AG73" i="46" s="1"/>
  <c r="AD40" i="46"/>
  <c r="AG40" i="46" s="1"/>
  <c r="AG98" i="46"/>
  <c r="AB20" i="46"/>
  <c r="AD20" i="46" s="1"/>
  <c r="AF90" i="46"/>
  <c r="AG90" i="46" s="1"/>
  <c r="AF46" i="46"/>
  <c r="AG46" i="46" s="1"/>
  <c r="AB17" i="46"/>
  <c r="AD17" i="46" s="1"/>
  <c r="AF113" i="46"/>
  <c r="AG113" i="46" s="1"/>
  <c r="AF38" i="46"/>
  <c r="AG38" i="46" s="1"/>
  <c r="AF26" i="46"/>
  <c r="AG26" i="46" s="1"/>
  <c r="AF45" i="46"/>
  <c r="AG45" i="46" s="1"/>
  <c r="AF77" i="46"/>
  <c r="AG77" i="46" s="1"/>
  <c r="AF80" i="46"/>
  <c r="AG80" i="46" s="1"/>
  <c r="AD54" i="46"/>
  <c r="AG54" i="46" s="1"/>
  <c r="AD49" i="46"/>
  <c r="AG49" i="46" s="1"/>
  <c r="AD88" i="46"/>
  <c r="AG88" i="46" s="1"/>
  <c r="AD64" i="46"/>
  <c r="AG64" i="46" s="1"/>
  <c r="AD33" i="46"/>
  <c r="AG33" i="46" s="1"/>
  <c r="AK18" i="46"/>
  <c r="AF62" i="46"/>
  <c r="AG62" i="46" s="1"/>
  <c r="AF58" i="46"/>
  <c r="AG58" i="46" s="1"/>
  <c r="AF74" i="46"/>
  <c r="AG74" i="46" s="1"/>
  <c r="AF50" i="46"/>
  <c r="AG50" i="46" s="1"/>
  <c r="AD56" i="46"/>
  <c r="AG56" i="46" s="1"/>
  <c r="AD41" i="46"/>
  <c r="AG41" i="46" s="1"/>
  <c r="AD70" i="46"/>
  <c r="AG70" i="46" s="1"/>
  <c r="AD57" i="46"/>
  <c r="AG57" i="46" s="1"/>
  <c r="AD68" i="46"/>
  <c r="AG68" i="46" s="1"/>
  <c r="AF42" i="46"/>
  <c r="AG42" i="46" s="1"/>
  <c r="AF21" i="46"/>
  <c r="AG21" i="46" s="1"/>
  <c r="AF76" i="46"/>
  <c r="AG76" i="46" s="1"/>
  <c r="AD35" i="46"/>
  <c r="AG35" i="46" s="1"/>
  <c r="AD75" i="46"/>
  <c r="AG75" i="46" s="1"/>
  <c r="AF81" i="46"/>
  <c r="AG81" i="46" s="1"/>
  <c r="AF61" i="46"/>
  <c r="AG61" i="46" s="1"/>
  <c r="AD53" i="46"/>
  <c r="AG53" i="46" s="1"/>
  <c r="AD107" i="46"/>
  <c r="AG107" i="46" s="1"/>
  <c r="AF66" i="46"/>
  <c r="AG66" i="46" s="1"/>
  <c r="AD39" i="46"/>
  <c r="AG39" i="46" s="1"/>
  <c r="AF47" i="46"/>
  <c r="AG47" i="46" s="1"/>
  <c r="AD110" i="46"/>
  <c r="AG110" i="46" s="1"/>
  <c r="AD83" i="46"/>
  <c r="AG83" i="46" s="1"/>
  <c r="AF106" i="46"/>
  <c r="AG106" i="46" s="1"/>
  <c r="AD44" i="46"/>
  <c r="AG44" i="46" s="1"/>
  <c r="AF37" i="46"/>
  <c r="AG37" i="46" s="1"/>
  <c r="AF89" i="46"/>
  <c r="AG89" i="46" s="1"/>
  <c r="AF30" i="46"/>
  <c r="AG30" i="46" s="1"/>
  <c r="AD34" i="46"/>
  <c r="AG34" i="46" s="1"/>
  <c r="AK14" i="46"/>
  <c r="AD22" i="46"/>
  <c r="AG22" i="46" s="1"/>
  <c r="AF29" i="46"/>
  <c r="AG29" i="46" s="1"/>
  <c r="AB11" i="46"/>
  <c r="AD11" i="46" s="1"/>
  <c r="AF86" i="46"/>
  <c r="AG86" i="46" s="1"/>
  <c r="AD69" i="46"/>
  <c r="AG69" i="46" s="1"/>
  <c r="AK15" i="46"/>
  <c r="AD78" i="46"/>
  <c r="AG78" i="46" s="1"/>
  <c r="AF72" i="46"/>
  <c r="AG72" i="46" s="1"/>
  <c r="AF43" i="46"/>
  <c r="AG43" i="46" s="1"/>
  <c r="AF85" i="46"/>
  <c r="AG85" i="46" s="1"/>
  <c r="AD52" i="46"/>
  <c r="AG52" i="46" s="1"/>
  <c r="AF48" i="46"/>
  <c r="AG48" i="46" s="1"/>
  <c r="AD31" i="46"/>
  <c r="AG31" i="46" s="1"/>
  <c r="AD112" i="46"/>
  <c r="AG112" i="46" s="1"/>
  <c r="AD65" i="46"/>
  <c r="AG65" i="46" s="1"/>
  <c r="AF111" i="46"/>
  <c r="AG111" i="46" s="1"/>
  <c r="AF63" i="46"/>
  <c r="AG63" i="46" s="1"/>
  <c r="AG101" i="46"/>
  <c r="AD32" i="46"/>
  <c r="AG32" i="46" s="1"/>
  <c r="AF67" i="46"/>
  <c r="AG67" i="46" s="1"/>
  <c r="AB12" i="46"/>
  <c r="AD12" i="46" s="1"/>
  <c r="AD100" i="46"/>
  <c r="AG100" i="46" s="1"/>
  <c r="AF51" i="46"/>
  <c r="AG51" i="46" s="1"/>
  <c r="AF55" i="46"/>
  <c r="AG55" i="46" s="1"/>
  <c r="AF36" i="46"/>
  <c r="AG36" i="46" s="1"/>
  <c r="AD60" i="46"/>
  <c r="AG60" i="46" s="1"/>
  <c r="AF25" i="46"/>
  <c r="AG25" i="46" s="1"/>
  <c r="AB19" i="46"/>
  <c r="AD19" i="46" s="1"/>
  <c r="AD99" i="46"/>
  <c r="AG99" i="46" s="1"/>
  <c r="AF28" i="46"/>
  <c r="AG28" i="46" s="1"/>
  <c r="AD27" i="46"/>
  <c r="AG27" i="46" s="1"/>
  <c r="AD91" i="46"/>
  <c r="AG91" i="46" s="1"/>
  <c r="AF59" i="46"/>
  <c r="AG59" i="46" s="1"/>
  <c r="AD71" i="46"/>
  <c r="AG71" i="46" s="1"/>
  <c r="AK13" i="46"/>
  <c r="AF23" i="46"/>
  <c r="AG23" i="46" s="1"/>
  <c r="AD24" i="46"/>
  <c r="AG24" i="46" s="1"/>
  <c r="AF103" i="46"/>
  <c r="AG103" i="46" s="1"/>
  <c r="AF87" i="46"/>
  <c r="AG87" i="46" s="1"/>
  <c r="AF79" i="46"/>
  <c r="AG79" i="46" s="1"/>
  <c r="AB10" i="46"/>
  <c r="AD10" i="46" s="1"/>
  <c r="AK10" i="46"/>
  <c r="X114" i="46"/>
  <c r="AA9" i="46"/>
  <c r="E8" i="50" s="1"/>
  <c r="G24" i="50" s="1"/>
  <c r="AF95" i="46"/>
  <c r="AG95" i="46" s="1"/>
  <c r="AA114" i="46" l="1"/>
  <c r="AB9" i="46"/>
  <c r="AK9" i="46"/>
  <c r="F8" i="50" l="1"/>
  <c r="H8" i="50" s="1"/>
  <c r="AD9" i="46"/>
  <c r="AD114" i="46" s="1"/>
  <c r="AB114" i="46"/>
  <c r="V22" i="30" l="1"/>
  <c r="V21" i="30" l="1"/>
  <c r="X21" i="30" s="1"/>
  <c r="X22" i="30"/>
  <c r="V8" i="30" l="1"/>
  <c r="X8" i="30" s="1"/>
  <c r="V4" i="30"/>
  <c r="X4" i="30" s="1"/>
  <c r="V9" i="30"/>
  <c r="X9" i="30" s="1"/>
  <c r="V13" i="30"/>
  <c r="X13" i="30" s="1"/>
  <c r="V7" i="30"/>
  <c r="X7" i="30" s="1"/>
  <c r="V3" i="30"/>
  <c r="X3" i="30" s="1"/>
  <c r="V10" i="30"/>
  <c r="X10" i="30" s="1"/>
  <c r="V2" i="30"/>
  <c r="X2" i="30" s="1"/>
  <c r="V12" i="30" l="1"/>
  <c r="X12" i="30" s="1"/>
  <c r="V11" i="30"/>
  <c r="X11" i="30" s="1"/>
  <c r="V15" i="30"/>
  <c r="X15" i="30" s="1"/>
  <c r="X19" i="30"/>
  <c r="V19" i="30" s="1"/>
  <c r="V5" i="30" l="1"/>
  <c r="X5" i="30" s="1"/>
  <c r="V6" i="30"/>
  <c r="X6" i="30" s="1"/>
  <c r="X16" i="30"/>
  <c r="X20" i="30"/>
  <c r="V20" i="30" s="1"/>
  <c r="X18" i="30"/>
  <c r="V18" i="30" s="1"/>
  <c r="V16" i="30" l="1"/>
  <c r="X17" i="30"/>
  <c r="V17" i="30" s="1"/>
  <c r="C6" i="30" l="1"/>
  <c r="AE18" i="46"/>
  <c r="AF18" i="46" s="1"/>
  <c r="AG18" i="46" s="1"/>
  <c r="AE20" i="46" l="1"/>
  <c r="AF20" i="46" s="1"/>
  <c r="AG20" i="46" s="1"/>
  <c r="AE13" i="46"/>
  <c r="AF13" i="46" s="1"/>
  <c r="AG13" i="46" s="1"/>
  <c r="AE14" i="46"/>
  <c r="AF14" i="46" s="1"/>
  <c r="AG14" i="46" s="1"/>
  <c r="AE17" i="46"/>
  <c r="AF17" i="46" s="1"/>
  <c r="AG17" i="46" s="1"/>
  <c r="AF15" i="46"/>
  <c r="AG15" i="46" s="1"/>
  <c r="AE12" i="46"/>
  <c r="AF12" i="46" s="1"/>
  <c r="AG12" i="46" s="1"/>
  <c r="AE19" i="46"/>
  <c r="AF19" i="46" s="1"/>
  <c r="AG19" i="46" s="1"/>
  <c r="AE11" i="46"/>
  <c r="AF11" i="46" s="1"/>
  <c r="AG11" i="46" s="1"/>
  <c r="AE9" i="46"/>
  <c r="AF9" i="46" s="1"/>
  <c r="AE10" i="46"/>
  <c r="AF10" i="46" s="1"/>
  <c r="AG10" i="46" s="1"/>
  <c r="AF114" i="46" l="1"/>
  <c r="AG9" i="46"/>
  <c r="AG114" i="46" s="1"/>
  <c r="DD36" i="47" l="1"/>
  <c r="G5" i="50"/>
  <c r="AK114" i="46"/>
  <c r="AJ114" i="46"/>
  <c r="H5" i="50" l="1"/>
  <c r="AH114" i="46"/>
  <c r="H9" i="50" l="1"/>
  <c r="D22" i="50"/>
  <c r="AF5" i="15"/>
  <c r="AE3" i="17"/>
  <c r="AE12" i="15"/>
  <c r="I24" i="20"/>
  <c r="O19" i="18" s="1"/>
  <c r="F24" i="20"/>
  <c r="O18" i="17" s="1"/>
  <c r="C24" i="20"/>
  <c r="O17" i="17" s="1"/>
  <c r="I23" i="20"/>
  <c r="F23" i="20"/>
  <c r="C23" i="20"/>
  <c r="I22" i="20"/>
  <c r="F22" i="20"/>
  <c r="C22" i="20"/>
  <c r="I21" i="20"/>
  <c r="F21" i="20"/>
  <c r="C21" i="20"/>
  <c r="L10" i="20"/>
  <c r="O8" i="18" s="1"/>
  <c r="I10" i="20"/>
  <c r="O7" i="18" s="1"/>
  <c r="O10" i="18" s="1"/>
  <c r="F10" i="20"/>
  <c r="O6" i="17" s="1"/>
  <c r="C10" i="20"/>
  <c r="O5" i="17" s="1"/>
  <c r="L9" i="20"/>
  <c r="I9" i="20"/>
  <c r="F9" i="20"/>
  <c r="C9" i="20"/>
  <c r="L8" i="20"/>
  <c r="I8" i="20"/>
  <c r="F8" i="20"/>
  <c r="C8" i="20"/>
  <c r="L7" i="20"/>
  <c r="I7" i="20"/>
  <c r="F7" i="20"/>
  <c r="C7" i="20"/>
  <c r="B40" i="18"/>
  <c r="B39" i="18"/>
  <c r="B38" i="18"/>
  <c r="B37" i="18"/>
  <c r="B36" i="18"/>
  <c r="B32" i="18"/>
  <c r="B31" i="18"/>
  <c r="B30" i="18"/>
  <c r="B29" i="18"/>
  <c r="B28" i="18"/>
  <c r="B27" i="18"/>
  <c r="B26" i="18"/>
  <c r="B25" i="18"/>
  <c r="W24" i="18"/>
  <c r="X24" i="18" s="1"/>
  <c r="O20" i="18"/>
  <c r="N20" i="18"/>
  <c r="N40" i="18" s="1"/>
  <c r="N19" i="18"/>
  <c r="N39" i="18" s="1"/>
  <c r="N18" i="18"/>
  <c r="N38" i="18" s="1"/>
  <c r="N17" i="18"/>
  <c r="N37" i="18" s="1"/>
  <c r="N16" i="18"/>
  <c r="N36" i="18" s="1"/>
  <c r="N12" i="18"/>
  <c r="N32" i="18" s="1"/>
  <c r="C12" i="18"/>
  <c r="O11" i="18"/>
  <c r="N11" i="18"/>
  <c r="N31" i="18" s="1"/>
  <c r="AH10" i="18"/>
  <c r="AF10" i="18"/>
  <c r="AE10" i="18"/>
  <c r="AC10" i="18"/>
  <c r="N10" i="18"/>
  <c r="N30" i="18" s="1"/>
  <c r="C10" i="18"/>
  <c r="AG9" i="18"/>
  <c r="AG10" i="18" s="1"/>
  <c r="AD9" i="18"/>
  <c r="AD10" i="18" s="1"/>
  <c r="O9" i="18"/>
  <c r="O12" i="18" s="1"/>
  <c r="N9" i="18"/>
  <c r="N29" i="18" s="1"/>
  <c r="N8" i="18"/>
  <c r="N28" i="18" s="1"/>
  <c r="N7" i="18"/>
  <c r="N27" i="18" s="1"/>
  <c r="Z6" i="18"/>
  <c r="N6" i="18"/>
  <c r="N26" i="18" s="1"/>
  <c r="N5" i="18"/>
  <c r="N25" i="18" s="1"/>
  <c r="B40" i="17"/>
  <c r="B39" i="17"/>
  <c r="B38" i="17"/>
  <c r="B37" i="17"/>
  <c r="B36" i="17"/>
  <c r="B32" i="17"/>
  <c r="B31" i="17"/>
  <c r="B30" i="17"/>
  <c r="B29" i="17"/>
  <c r="B28" i="17"/>
  <c r="B27" i="17"/>
  <c r="B26" i="17"/>
  <c r="B25" i="17"/>
  <c r="W24" i="17"/>
  <c r="X24" i="17" s="1"/>
  <c r="O20" i="17"/>
  <c r="N20" i="17"/>
  <c r="N40" i="17" s="1"/>
  <c r="N19" i="17"/>
  <c r="N39" i="17" s="1"/>
  <c r="N18" i="17"/>
  <c r="N38" i="17" s="1"/>
  <c r="N17" i="17"/>
  <c r="N37" i="17" s="1"/>
  <c r="N16" i="17"/>
  <c r="N36" i="17" s="1"/>
  <c r="N12" i="17"/>
  <c r="N32" i="17" s="1"/>
  <c r="C12" i="17"/>
  <c r="O11" i="17"/>
  <c r="N11" i="17"/>
  <c r="N31" i="17" s="1"/>
  <c r="AH10" i="17"/>
  <c r="AF10" i="17"/>
  <c r="AE10" i="17"/>
  <c r="AC10" i="17"/>
  <c r="N10" i="17"/>
  <c r="N30" i="17" s="1"/>
  <c r="C10" i="17"/>
  <c r="AG9" i="17"/>
  <c r="AG10" i="17" s="1"/>
  <c r="AD9" i="17"/>
  <c r="AD10" i="17" s="1"/>
  <c r="O9" i="17"/>
  <c r="O12" i="17" s="1"/>
  <c r="N9" i="17"/>
  <c r="N29" i="17" s="1"/>
  <c r="N8" i="17"/>
  <c r="N28" i="17" s="1"/>
  <c r="N7" i="17"/>
  <c r="N27" i="17" s="1"/>
  <c r="Z6" i="17"/>
  <c r="N6" i="17"/>
  <c r="N26" i="17" s="1"/>
  <c r="N5" i="17"/>
  <c r="N25" i="17" s="1"/>
  <c r="O7" i="17" l="1"/>
  <c r="O10" i="17" s="1"/>
  <c r="O8" i="17"/>
  <c r="O19" i="17"/>
  <c r="O5" i="18"/>
  <c r="O17" i="18"/>
  <c r="O6" i="18"/>
  <c r="O18" i="18"/>
  <c r="AC11" i="17"/>
  <c r="AD11" i="17" s="1"/>
  <c r="AE11" i="17" s="1"/>
  <c r="AF11" i="17" s="1"/>
  <c r="AG11" i="17" s="1"/>
  <c r="AH11" i="17" s="1"/>
  <c r="AC11" i="18"/>
  <c r="AD11" i="18" s="1"/>
  <c r="AE11" i="18" s="1"/>
  <c r="AF11" i="18" s="1"/>
  <c r="AG11" i="18" s="1"/>
  <c r="AH11" i="18" s="1"/>
  <c r="AB8" i="15" s="1"/>
  <c r="D6" i="18" l="1"/>
  <c r="D6" i="17"/>
  <c r="D5" i="18"/>
  <c r="D5" i="17"/>
  <c r="D20" i="18"/>
  <c r="D20" i="17"/>
  <c r="D17" i="18"/>
  <c r="D17" i="17"/>
  <c r="D19" i="18"/>
  <c r="D19" i="17"/>
  <c r="D8" i="18"/>
  <c r="D8" i="17"/>
  <c r="D10" i="18"/>
  <c r="D10" i="17"/>
  <c r="D12" i="18"/>
  <c r="D12" i="17"/>
  <c r="D9" i="18"/>
  <c r="D9" i="17"/>
  <c r="D11" i="18"/>
  <c r="D11" i="17"/>
  <c r="D7" i="18"/>
  <c r="D7" i="17"/>
  <c r="D18" i="18"/>
  <c r="D18" i="17"/>
  <c r="D16" i="18"/>
  <c r="D16" i="17"/>
  <c r="AC16" i="14" l="1"/>
  <c r="C36" i="17"/>
  <c r="D21" i="17"/>
  <c r="P16" i="17"/>
  <c r="E16" i="17"/>
  <c r="C36" i="18"/>
  <c r="D21" i="18"/>
  <c r="P16" i="18"/>
  <c r="E16" i="18"/>
  <c r="C38" i="17"/>
  <c r="P18" i="17"/>
  <c r="E18" i="17"/>
  <c r="C38" i="18"/>
  <c r="P18" i="18"/>
  <c r="E18" i="18"/>
  <c r="C27" i="17"/>
  <c r="P7" i="17"/>
  <c r="E7" i="17"/>
  <c r="C27" i="18"/>
  <c r="P7" i="18"/>
  <c r="E7" i="18"/>
  <c r="C31" i="17"/>
  <c r="P11" i="17"/>
  <c r="E11" i="17"/>
  <c r="C31" i="18"/>
  <c r="P11" i="18"/>
  <c r="E11" i="18"/>
  <c r="C29" i="17"/>
  <c r="P9" i="17"/>
  <c r="E9" i="17"/>
  <c r="C29" i="18"/>
  <c r="P9" i="18"/>
  <c r="E9" i="18"/>
  <c r="C32" i="17"/>
  <c r="P12" i="17"/>
  <c r="E12" i="17"/>
  <c r="C32" i="18"/>
  <c r="P12" i="18"/>
  <c r="E12" i="18"/>
  <c r="C30" i="17"/>
  <c r="P10" i="17"/>
  <c r="E10" i="17"/>
  <c r="C30" i="18"/>
  <c r="P10" i="18"/>
  <c r="E10" i="18"/>
  <c r="C28" i="17"/>
  <c r="P8" i="17"/>
  <c r="E8" i="17"/>
  <c r="C28" i="18"/>
  <c r="P8" i="18"/>
  <c r="E8" i="18"/>
  <c r="C39" i="17"/>
  <c r="P19" i="17"/>
  <c r="E19" i="17"/>
  <c r="C39" i="18"/>
  <c r="P19" i="18"/>
  <c r="E19" i="18"/>
  <c r="C37" i="17"/>
  <c r="P17" i="17"/>
  <c r="E17" i="17"/>
  <c r="C37" i="18"/>
  <c r="P17" i="18"/>
  <c r="E17" i="18"/>
  <c r="C40" i="17"/>
  <c r="P20" i="17"/>
  <c r="E20" i="17"/>
  <c r="C40" i="18"/>
  <c r="P20" i="18"/>
  <c r="E20" i="18"/>
  <c r="C25" i="17"/>
  <c r="D13" i="17"/>
  <c r="P5" i="17"/>
  <c r="E5" i="17"/>
  <c r="C25" i="18"/>
  <c r="D13" i="18"/>
  <c r="P5" i="18"/>
  <c r="E5" i="18"/>
  <c r="C26" i="17"/>
  <c r="P6" i="17"/>
  <c r="E6" i="17"/>
  <c r="C26" i="18"/>
  <c r="P6" i="18"/>
  <c r="E6" i="18"/>
  <c r="AC17" i="14" l="1"/>
  <c r="AJ14" i="18"/>
  <c r="D26" i="18"/>
  <c r="G6" i="18"/>
  <c r="I6" i="18" s="1"/>
  <c r="J6" i="18" s="1"/>
  <c r="L6" i="18" s="1"/>
  <c r="E26" i="18" s="1"/>
  <c r="O26" i="18"/>
  <c r="Q6" i="18"/>
  <c r="D26" i="17"/>
  <c r="G6" i="17"/>
  <c r="I6" i="17" s="1"/>
  <c r="J6" i="17" s="1"/>
  <c r="L6" i="17" s="1"/>
  <c r="E26" i="17" s="1"/>
  <c r="O26" i="17"/>
  <c r="Q6" i="17"/>
  <c r="D25" i="18"/>
  <c r="G5" i="18"/>
  <c r="I5" i="18" s="1"/>
  <c r="J5" i="18" s="1"/>
  <c r="L5" i="18" s="1"/>
  <c r="O25" i="18"/>
  <c r="P13" i="18"/>
  <c r="Q5" i="18"/>
  <c r="AJ11" i="18"/>
  <c r="AL11" i="18" s="1"/>
  <c r="AG1" i="18"/>
  <c r="C33" i="18"/>
  <c r="D25" i="17"/>
  <c r="G5" i="17"/>
  <c r="I5" i="17" s="1"/>
  <c r="J5" i="17" s="1"/>
  <c r="L5" i="17" s="1"/>
  <c r="O25" i="17"/>
  <c r="P13" i="17"/>
  <c r="Q5" i="17"/>
  <c r="AJ11" i="17"/>
  <c r="AL11" i="17" s="1"/>
  <c r="AG1" i="17"/>
  <c r="C33" i="17"/>
  <c r="D40" i="18"/>
  <c r="G20" i="18"/>
  <c r="I20" i="18" s="1"/>
  <c r="J20" i="18" s="1"/>
  <c r="L20" i="18" s="1"/>
  <c r="E40" i="18" s="1"/>
  <c r="O40" i="18"/>
  <c r="Q20" i="18"/>
  <c r="D40" i="17"/>
  <c r="G20" i="17"/>
  <c r="I20" i="17" s="1"/>
  <c r="J20" i="17" s="1"/>
  <c r="L20" i="17" s="1"/>
  <c r="E40" i="17" s="1"/>
  <c r="O40" i="17"/>
  <c r="Q20" i="17"/>
  <c r="D37" i="18"/>
  <c r="G17" i="18"/>
  <c r="I17" i="18" s="1"/>
  <c r="J17" i="18" s="1"/>
  <c r="L17" i="18" s="1"/>
  <c r="E37" i="18" s="1"/>
  <c r="O37" i="18"/>
  <c r="Q17" i="18"/>
  <c r="D37" i="17"/>
  <c r="G17" i="17"/>
  <c r="I17" i="17" s="1"/>
  <c r="J17" i="17" s="1"/>
  <c r="L17" i="17" s="1"/>
  <c r="E37" i="17" s="1"/>
  <c r="O37" i="17"/>
  <c r="Q17" i="17"/>
  <c r="D39" i="18"/>
  <c r="G19" i="18"/>
  <c r="I19" i="18" s="1"/>
  <c r="J19" i="18" s="1"/>
  <c r="L19" i="18" s="1"/>
  <c r="E39" i="18" s="1"/>
  <c r="O39" i="18"/>
  <c r="Q19" i="18"/>
  <c r="D39" i="17"/>
  <c r="G19" i="17"/>
  <c r="I19" i="17" s="1"/>
  <c r="J19" i="17" s="1"/>
  <c r="L19" i="17" s="1"/>
  <c r="E39" i="17" s="1"/>
  <c r="O39" i="17"/>
  <c r="Q19" i="17"/>
  <c r="D28" i="18"/>
  <c r="G8" i="18"/>
  <c r="I8" i="18" s="1"/>
  <c r="J8" i="18" s="1"/>
  <c r="L8" i="18" s="1"/>
  <c r="E28" i="18" s="1"/>
  <c r="O28" i="18"/>
  <c r="Q8" i="18"/>
  <c r="D28" i="17"/>
  <c r="G8" i="17"/>
  <c r="I8" i="17" s="1"/>
  <c r="J8" i="17" s="1"/>
  <c r="L8" i="17" s="1"/>
  <c r="E28" i="17" s="1"/>
  <c r="O28" i="17"/>
  <c r="Q8" i="17"/>
  <c r="D30" i="18"/>
  <c r="G10" i="18"/>
  <c r="I10" i="18" s="1"/>
  <c r="J10" i="18" s="1"/>
  <c r="L10" i="18" s="1"/>
  <c r="E30" i="18" s="1"/>
  <c r="O30" i="18"/>
  <c r="Q10" i="18"/>
  <c r="D30" i="17"/>
  <c r="G10" i="17"/>
  <c r="I10" i="17" s="1"/>
  <c r="J10" i="17" s="1"/>
  <c r="L10" i="17" s="1"/>
  <c r="E30" i="17" s="1"/>
  <c r="O30" i="17"/>
  <c r="Q10" i="17"/>
  <c r="D32" i="18"/>
  <c r="G12" i="18"/>
  <c r="I12" i="18" s="1"/>
  <c r="J12" i="18" s="1"/>
  <c r="L12" i="18" s="1"/>
  <c r="E32" i="18" s="1"/>
  <c r="O32" i="18"/>
  <c r="Q12" i="18"/>
  <c r="D32" i="17"/>
  <c r="G12" i="17"/>
  <c r="I12" i="17" s="1"/>
  <c r="J12" i="17" s="1"/>
  <c r="L12" i="17" s="1"/>
  <c r="E32" i="17" s="1"/>
  <c r="O32" i="17"/>
  <c r="Q12" i="17"/>
  <c r="D29" i="18"/>
  <c r="G9" i="18"/>
  <c r="I9" i="18" s="1"/>
  <c r="J9" i="18" s="1"/>
  <c r="L9" i="18" s="1"/>
  <c r="E29" i="18" s="1"/>
  <c r="O29" i="18"/>
  <c r="Q9" i="18"/>
  <c r="D29" i="17"/>
  <c r="G9" i="17"/>
  <c r="I9" i="17" s="1"/>
  <c r="J9" i="17" s="1"/>
  <c r="L9" i="17" s="1"/>
  <c r="E29" i="17" s="1"/>
  <c r="O29" i="17"/>
  <c r="Q9" i="17"/>
  <c r="D31" i="18"/>
  <c r="G11" i="18"/>
  <c r="I11" i="18" s="1"/>
  <c r="J11" i="18" s="1"/>
  <c r="L11" i="18" s="1"/>
  <c r="E31" i="18" s="1"/>
  <c r="O31" i="18"/>
  <c r="Q11" i="18"/>
  <c r="D31" i="17"/>
  <c r="G11" i="17"/>
  <c r="I11" i="17" s="1"/>
  <c r="J11" i="17" s="1"/>
  <c r="L11" i="17" s="1"/>
  <c r="E31" i="17" s="1"/>
  <c r="O31" i="17"/>
  <c r="Q11" i="17"/>
  <c r="D27" i="18"/>
  <c r="G7" i="18"/>
  <c r="I7" i="18" s="1"/>
  <c r="J7" i="18" s="1"/>
  <c r="L7" i="18" s="1"/>
  <c r="E27" i="18" s="1"/>
  <c r="O27" i="18"/>
  <c r="Q7" i="18"/>
  <c r="D27" i="17"/>
  <c r="G7" i="17"/>
  <c r="I7" i="17" s="1"/>
  <c r="J7" i="17" s="1"/>
  <c r="L7" i="17" s="1"/>
  <c r="E27" i="17" s="1"/>
  <c r="O27" i="17"/>
  <c r="Q7" i="17"/>
  <c r="D38" i="18"/>
  <c r="G18" i="18"/>
  <c r="I18" i="18" s="1"/>
  <c r="J18" i="18" s="1"/>
  <c r="L18" i="18" s="1"/>
  <c r="E38" i="18" s="1"/>
  <c r="O38" i="18"/>
  <c r="Q18" i="18"/>
  <c r="D38" i="17"/>
  <c r="G18" i="17"/>
  <c r="I18" i="17" s="1"/>
  <c r="J18" i="17" s="1"/>
  <c r="L18" i="17" s="1"/>
  <c r="E38" i="17" s="1"/>
  <c r="O38" i="17"/>
  <c r="Q18" i="17"/>
  <c r="D36" i="18"/>
  <c r="G16" i="18"/>
  <c r="I16" i="18" s="1"/>
  <c r="J16" i="18" s="1"/>
  <c r="L16" i="18" s="1"/>
  <c r="O36" i="18"/>
  <c r="P21" i="18"/>
  <c r="Q16" i="18"/>
  <c r="C41" i="18"/>
  <c r="D36" i="17"/>
  <c r="G16" i="17"/>
  <c r="I16" i="17" s="1"/>
  <c r="J16" i="17" s="1"/>
  <c r="L16" i="17" s="1"/>
  <c r="O36" i="17"/>
  <c r="P21" i="17"/>
  <c r="Q16" i="17"/>
  <c r="C41" i="17"/>
  <c r="AJ14" i="17" l="1"/>
  <c r="AD12" i="17" s="1"/>
  <c r="P36" i="17"/>
  <c r="S16" i="17"/>
  <c r="U16" i="17" s="1"/>
  <c r="V16" i="17" s="1"/>
  <c r="X16" i="17" s="1"/>
  <c r="E36" i="17"/>
  <c r="L21" i="17"/>
  <c r="P36" i="18"/>
  <c r="S16" i="18"/>
  <c r="U16" i="18" s="1"/>
  <c r="V16" i="18" s="1"/>
  <c r="X16" i="18" s="1"/>
  <c r="E36" i="18"/>
  <c r="L21" i="18"/>
  <c r="P38" i="17"/>
  <c r="S18" i="17"/>
  <c r="U18" i="17" s="1"/>
  <c r="V18" i="17" s="1"/>
  <c r="X18" i="17" s="1"/>
  <c r="Q38" i="17" s="1"/>
  <c r="R38" i="17" s="1"/>
  <c r="F38" i="17"/>
  <c r="P38" i="18"/>
  <c r="S18" i="18"/>
  <c r="U18" i="18" s="1"/>
  <c r="V18" i="18" s="1"/>
  <c r="X18" i="18" s="1"/>
  <c r="Q38" i="18" s="1"/>
  <c r="R38" i="18" s="1"/>
  <c r="F38" i="18"/>
  <c r="P27" i="17"/>
  <c r="S7" i="17"/>
  <c r="U7" i="17" s="1"/>
  <c r="V7" i="17" s="1"/>
  <c r="X7" i="17" s="1"/>
  <c r="Q27" i="17" s="1"/>
  <c r="R27" i="17" s="1"/>
  <c r="F27" i="17"/>
  <c r="P27" i="18"/>
  <c r="S7" i="18"/>
  <c r="U7" i="18" s="1"/>
  <c r="V7" i="18" s="1"/>
  <c r="X7" i="18" s="1"/>
  <c r="Q27" i="18" s="1"/>
  <c r="R27" i="18" s="1"/>
  <c r="F27" i="18"/>
  <c r="P31" i="17"/>
  <c r="S11" i="17"/>
  <c r="U11" i="17" s="1"/>
  <c r="V11" i="17" s="1"/>
  <c r="X11" i="17" s="1"/>
  <c r="Q31" i="17" s="1"/>
  <c r="R31" i="17" s="1"/>
  <c r="F31" i="17"/>
  <c r="P31" i="18"/>
  <c r="S11" i="18"/>
  <c r="U11" i="18" s="1"/>
  <c r="V11" i="18" s="1"/>
  <c r="X11" i="18" s="1"/>
  <c r="Q31" i="18" s="1"/>
  <c r="R31" i="18" s="1"/>
  <c r="F31" i="18"/>
  <c r="P29" i="17"/>
  <c r="S9" i="17"/>
  <c r="U9" i="17" s="1"/>
  <c r="V9" i="17" s="1"/>
  <c r="X9" i="17" s="1"/>
  <c r="Q29" i="17" s="1"/>
  <c r="R29" i="17" s="1"/>
  <c r="F29" i="17"/>
  <c r="P29" i="18"/>
  <c r="S9" i="18"/>
  <c r="U9" i="18" s="1"/>
  <c r="V9" i="18" s="1"/>
  <c r="X9" i="18" s="1"/>
  <c r="Q29" i="18" s="1"/>
  <c r="R29" i="18" s="1"/>
  <c r="F29" i="18"/>
  <c r="P32" i="17"/>
  <c r="S12" i="17"/>
  <c r="U12" i="17" s="1"/>
  <c r="V12" i="17" s="1"/>
  <c r="X12" i="17" s="1"/>
  <c r="Q32" i="17" s="1"/>
  <c r="R32" i="17" s="1"/>
  <c r="F32" i="17"/>
  <c r="P32" i="18"/>
  <c r="S12" i="18"/>
  <c r="U12" i="18" s="1"/>
  <c r="V12" i="18" s="1"/>
  <c r="X12" i="18" s="1"/>
  <c r="Q32" i="18" s="1"/>
  <c r="R32" i="18" s="1"/>
  <c r="F32" i="18"/>
  <c r="P30" i="17"/>
  <c r="S10" i="17"/>
  <c r="U10" i="17" s="1"/>
  <c r="V10" i="17" s="1"/>
  <c r="X10" i="17" s="1"/>
  <c r="Q30" i="17" s="1"/>
  <c r="R30" i="17" s="1"/>
  <c r="F30" i="17"/>
  <c r="P30" i="18"/>
  <c r="S10" i="18"/>
  <c r="U10" i="18" s="1"/>
  <c r="V10" i="18" s="1"/>
  <c r="X10" i="18" s="1"/>
  <c r="Q30" i="18" s="1"/>
  <c r="R30" i="18" s="1"/>
  <c r="F30" i="18"/>
  <c r="P28" i="17"/>
  <c r="S8" i="17"/>
  <c r="U8" i="17" s="1"/>
  <c r="V8" i="17" s="1"/>
  <c r="X8" i="17" s="1"/>
  <c r="Q28" i="17" s="1"/>
  <c r="R28" i="17" s="1"/>
  <c r="F28" i="17"/>
  <c r="P28" i="18"/>
  <c r="S8" i="18"/>
  <c r="U8" i="18" s="1"/>
  <c r="V8" i="18" s="1"/>
  <c r="X8" i="18" s="1"/>
  <c r="Q28" i="18" s="1"/>
  <c r="R28" i="18" s="1"/>
  <c r="F28" i="18"/>
  <c r="P39" i="17"/>
  <c r="S19" i="17"/>
  <c r="U19" i="17" s="1"/>
  <c r="V19" i="17" s="1"/>
  <c r="X19" i="17" s="1"/>
  <c r="Q39" i="17" s="1"/>
  <c r="R39" i="17" s="1"/>
  <c r="F39" i="17"/>
  <c r="P39" i="18"/>
  <c r="S19" i="18"/>
  <c r="U19" i="18" s="1"/>
  <c r="V19" i="18" s="1"/>
  <c r="X19" i="18" s="1"/>
  <c r="Q39" i="18" s="1"/>
  <c r="R39" i="18" s="1"/>
  <c r="F39" i="18"/>
  <c r="P37" i="17"/>
  <c r="S17" i="17"/>
  <c r="U17" i="17" s="1"/>
  <c r="V17" i="17" s="1"/>
  <c r="X17" i="17" s="1"/>
  <c r="Q37" i="17" s="1"/>
  <c r="R37" i="17" s="1"/>
  <c r="F37" i="17"/>
  <c r="P37" i="18"/>
  <c r="S17" i="18"/>
  <c r="U17" i="18" s="1"/>
  <c r="V17" i="18" s="1"/>
  <c r="X17" i="18" s="1"/>
  <c r="Q37" i="18" s="1"/>
  <c r="R37" i="18" s="1"/>
  <c r="F37" i="18"/>
  <c r="P40" i="17"/>
  <c r="S20" i="17"/>
  <c r="U20" i="17" s="1"/>
  <c r="V20" i="17" s="1"/>
  <c r="X20" i="17" s="1"/>
  <c r="Q40" i="17" s="1"/>
  <c r="R40" i="17" s="1"/>
  <c r="F40" i="17"/>
  <c r="P40" i="18"/>
  <c r="S20" i="18"/>
  <c r="U20" i="18" s="1"/>
  <c r="V20" i="18" s="1"/>
  <c r="X20" i="18" s="1"/>
  <c r="Q40" i="18" s="1"/>
  <c r="R40" i="18" s="1"/>
  <c r="F40" i="18"/>
  <c r="P25" i="17"/>
  <c r="S5" i="17"/>
  <c r="U5" i="17" s="1"/>
  <c r="V5" i="17" s="1"/>
  <c r="X5" i="17" s="1"/>
  <c r="E25" i="17"/>
  <c r="L13" i="17"/>
  <c r="P25" i="18"/>
  <c r="S5" i="18"/>
  <c r="U5" i="18" s="1"/>
  <c r="V5" i="18" s="1"/>
  <c r="X5" i="18" s="1"/>
  <c r="E25" i="18"/>
  <c r="L13" i="18"/>
  <c r="AD12" i="18"/>
  <c r="AG12" i="18"/>
  <c r="AC12" i="18"/>
  <c r="AC13" i="18" s="1"/>
  <c r="AE12" i="18"/>
  <c r="AF12" i="18"/>
  <c r="AH12" i="18"/>
  <c r="P26" i="17"/>
  <c r="S6" i="17"/>
  <c r="U6" i="17" s="1"/>
  <c r="V6" i="17" s="1"/>
  <c r="X6" i="17" s="1"/>
  <c r="Q26" i="17" s="1"/>
  <c r="R26" i="17" s="1"/>
  <c r="F26" i="17"/>
  <c r="P26" i="18"/>
  <c r="S6" i="18"/>
  <c r="U6" i="18" s="1"/>
  <c r="V6" i="18" s="1"/>
  <c r="X6" i="18" s="1"/>
  <c r="Q26" i="18" s="1"/>
  <c r="R26" i="18" s="1"/>
  <c r="F26" i="18"/>
  <c r="AF12" i="17" l="1"/>
  <c r="AE12" i="17"/>
  <c r="AH12" i="17"/>
  <c r="AG12" i="17"/>
  <c r="AC12" i="17"/>
  <c r="AC13" i="17" s="1"/>
  <c r="AD13" i="17" s="1"/>
  <c r="T26" i="17"/>
  <c r="U26" i="17" s="1"/>
  <c r="T40" i="18"/>
  <c r="U40" i="18" s="1"/>
  <c r="T32" i="18"/>
  <c r="U32" i="18" s="1"/>
  <c r="T39" i="18"/>
  <c r="U39" i="18" s="1"/>
  <c r="T31" i="18"/>
  <c r="U31" i="18" s="1"/>
  <c r="T29" i="18"/>
  <c r="U29" i="18" s="1"/>
  <c r="T28" i="18"/>
  <c r="U28" i="18" s="1"/>
  <c r="T38" i="18"/>
  <c r="U38" i="18" s="1"/>
  <c r="T37" i="18"/>
  <c r="U37" i="18" s="1"/>
  <c r="T27" i="18"/>
  <c r="U27" i="18" s="1"/>
  <c r="T30" i="18"/>
  <c r="U30" i="18" s="1"/>
  <c r="T26" i="18"/>
  <c r="U26" i="18" s="1"/>
  <c r="T40" i="17"/>
  <c r="U40" i="17" s="1"/>
  <c r="T37" i="17"/>
  <c r="U37" i="17" s="1"/>
  <c r="T39" i="17"/>
  <c r="U39" i="17" s="1"/>
  <c r="T28" i="17"/>
  <c r="U28" i="17" s="1"/>
  <c r="T30" i="17"/>
  <c r="U30" i="17" s="1"/>
  <c r="T32" i="17"/>
  <c r="U32" i="17" s="1"/>
  <c r="T29" i="17"/>
  <c r="U29" i="17" s="1"/>
  <c r="T31" i="17"/>
  <c r="U31" i="17" s="1"/>
  <c r="T27" i="17"/>
  <c r="U27" i="17" s="1"/>
  <c r="T38" i="17"/>
  <c r="U38" i="17" s="1"/>
  <c r="AD13" i="18"/>
  <c r="AE13" i="18" s="1"/>
  <c r="AF13" i="18" s="1"/>
  <c r="AG13" i="18" s="1"/>
  <c r="AH13" i="18" s="1"/>
  <c r="E33" i="18"/>
  <c r="E41" i="18" s="1"/>
  <c r="F25" i="18"/>
  <c r="F33" i="18" s="1"/>
  <c r="Q25" i="18"/>
  <c r="X13" i="18"/>
  <c r="E33" i="17"/>
  <c r="E41" i="17" s="1"/>
  <c r="F25" i="17"/>
  <c r="F33" i="17" s="1"/>
  <c r="Q25" i="17"/>
  <c r="X13" i="17"/>
  <c r="F36" i="18"/>
  <c r="Q36" i="18"/>
  <c r="X21" i="18"/>
  <c r="F36" i="17"/>
  <c r="Q36" i="17"/>
  <c r="X21" i="17"/>
  <c r="AE13" i="17" l="1"/>
  <c r="AF13" i="17" s="1"/>
  <c r="AG13" i="17" s="1"/>
  <c r="AH13" i="17" s="1"/>
  <c r="Q41" i="17"/>
  <c r="R36" i="17"/>
  <c r="R41" i="17" s="1"/>
  <c r="T36" i="17"/>
  <c r="Q41" i="18"/>
  <c r="R36" i="18"/>
  <c r="R41" i="18" s="1"/>
  <c r="T36" i="18"/>
  <c r="Q33" i="17"/>
  <c r="R25" i="17"/>
  <c r="R33" i="17" s="1"/>
  <c r="T25" i="17"/>
  <c r="F41" i="17"/>
  <c r="AG14" i="17" s="1"/>
  <c r="Q33" i="18"/>
  <c r="R25" i="18"/>
  <c r="R33" i="18" s="1"/>
  <c r="T25" i="18"/>
  <c r="F41" i="18"/>
  <c r="AD14" i="18" s="1"/>
  <c r="AF14" i="18" l="1"/>
  <c r="AG14" i="18"/>
  <c r="AE14" i="18"/>
  <c r="AH14" i="17"/>
  <c r="AD14" i="17"/>
  <c r="AC14" i="17"/>
  <c r="AE14" i="17"/>
  <c r="AF14" i="17"/>
  <c r="AH14" i="18"/>
  <c r="AC14" i="18"/>
  <c r="T34" i="18"/>
  <c r="U25" i="18"/>
  <c r="T34" i="17"/>
  <c r="U25" i="17"/>
  <c r="T41" i="18"/>
  <c r="X25" i="18" s="1"/>
  <c r="X26" i="18" s="1"/>
  <c r="U36" i="18"/>
  <c r="T41" i="17"/>
  <c r="X25" i="17" s="1"/>
  <c r="X26" i="17" s="1"/>
  <c r="U36" i="17"/>
  <c r="T43" i="17" l="1"/>
  <c r="W25" i="17"/>
  <c r="W26" i="17" s="1"/>
  <c r="T43" i="18"/>
  <c r="W25" i="18"/>
  <c r="W26" i="18" s="1"/>
  <c r="T42" i="1" l="1"/>
  <c r="AE8" i="15"/>
  <c r="AF8" i="15" s="1"/>
  <c r="AJ10" i="15"/>
  <c r="AJ9" i="15"/>
  <c r="AF52" i="16"/>
  <c r="AE52" i="16"/>
  <c r="AD52" i="16"/>
  <c r="AC52" i="16"/>
  <c r="AB52" i="16"/>
  <c r="O57" i="16"/>
  <c r="O55" i="16"/>
  <c r="P55" i="16" s="1"/>
  <c r="Q55" i="16" s="1"/>
  <c r="R55" i="16" s="1"/>
  <c r="AA52" i="16"/>
  <c r="Z52" i="16"/>
  <c r="Y52" i="16"/>
  <c r="X52" i="16"/>
  <c r="W52" i="16"/>
  <c r="V52" i="16"/>
  <c r="U52" i="16"/>
  <c r="T52" i="16"/>
  <c r="S52" i="16"/>
  <c r="R52" i="16"/>
  <c r="Q52" i="16"/>
  <c r="P52" i="16"/>
  <c r="O52" i="16"/>
  <c r="O53" i="16" s="1"/>
  <c r="P51" i="16"/>
  <c r="Q51" i="16" s="1"/>
  <c r="AE48" i="16"/>
  <c r="AF48" i="16" s="1"/>
  <c r="AG48" i="16" s="1"/>
  <c r="AH48" i="16" s="1"/>
  <c r="AI48" i="16" s="1"/>
  <c r="AJ48" i="16" s="1"/>
  <c r="AK48" i="16" s="1"/>
  <c r="AL48" i="16" s="1"/>
  <c r="AM48" i="16" s="1"/>
  <c r="N48" i="16"/>
  <c r="O48" i="16" s="1"/>
  <c r="P48" i="16" s="1"/>
  <c r="Q48" i="16" s="1"/>
  <c r="R48" i="16" s="1"/>
  <c r="S48" i="16" s="1"/>
  <c r="T48" i="16" s="1"/>
  <c r="U48" i="16" s="1"/>
  <c r="V48" i="16" s="1"/>
  <c r="W48" i="16" s="1"/>
  <c r="X48" i="16" s="1"/>
  <c r="Y48" i="16" s="1"/>
  <c r="Z48" i="16" s="1"/>
  <c r="AA48" i="16" s="1"/>
  <c r="AB48" i="16" s="1"/>
  <c r="AC48" i="16" s="1"/>
  <c r="AD48" i="16" s="1"/>
  <c r="BU48" i="16" s="1"/>
  <c r="BV48" i="16" s="1"/>
  <c r="BW48" i="16" s="1"/>
  <c r="BX48" i="16" s="1"/>
  <c r="BY48" i="16" s="1"/>
  <c r="BZ48" i="16" s="1"/>
  <c r="CA48" i="16" s="1"/>
  <c r="DK48" i="16" s="1"/>
  <c r="DL48" i="16" s="1"/>
  <c r="N44" i="16"/>
  <c r="FU41" i="16"/>
  <c r="FT41" i="16"/>
  <c r="FS41" i="16"/>
  <c r="FR41" i="16"/>
  <c r="FQ41" i="16"/>
  <c r="FP41" i="16"/>
  <c r="FO41" i="16"/>
  <c r="FN41" i="16"/>
  <c r="FM41" i="16"/>
  <c r="FL41" i="16"/>
  <c r="FK41" i="16"/>
  <c r="FJ41" i="16"/>
  <c r="FI41" i="16"/>
  <c r="FH41" i="16"/>
  <c r="FG41" i="16"/>
  <c r="FF41" i="16"/>
  <c r="FE41" i="16"/>
  <c r="FD41" i="16"/>
  <c r="FC41" i="16"/>
  <c r="FB41" i="16"/>
  <c r="FA41" i="16"/>
  <c r="EZ41" i="16"/>
  <c r="EY41" i="16"/>
  <c r="EX41" i="16"/>
  <c r="EW41" i="16"/>
  <c r="EV41" i="16"/>
  <c r="EU41" i="16"/>
  <c r="ET41" i="16"/>
  <c r="ES41" i="16"/>
  <c r="ER41" i="16"/>
  <c r="EQ41" i="16"/>
  <c r="EP41" i="16"/>
  <c r="EO41" i="16"/>
  <c r="EN41" i="16"/>
  <c r="EM41" i="16"/>
  <c r="EL41" i="16"/>
  <c r="EK41" i="16"/>
  <c r="EJ41" i="16"/>
  <c r="EI41" i="16"/>
  <c r="EH41" i="16"/>
  <c r="EG41" i="16"/>
  <c r="EF41" i="16"/>
  <c r="EE41" i="16"/>
  <c r="ED41" i="16"/>
  <c r="EC41" i="16"/>
  <c r="EB41" i="16"/>
  <c r="EA41" i="16"/>
  <c r="DZ41" i="16"/>
  <c r="DY41" i="16"/>
  <c r="DX41" i="16"/>
  <c r="DW41" i="16"/>
  <c r="DV41" i="16"/>
  <c r="DU41" i="16"/>
  <c r="DT41" i="16"/>
  <c r="DS41" i="16"/>
  <c r="DR41" i="16"/>
  <c r="DQ41" i="16"/>
  <c r="DP41" i="16"/>
  <c r="DO41" i="16"/>
  <c r="DN41" i="16"/>
  <c r="DM41" i="16"/>
  <c r="DL41" i="16"/>
  <c r="DK41" i="16"/>
  <c r="DJ41" i="16"/>
  <c r="DI41" i="16"/>
  <c r="DH41" i="16"/>
  <c r="DG41" i="16"/>
  <c r="DF41" i="16"/>
  <c r="DE41" i="16"/>
  <c r="DD41" i="16"/>
  <c r="DC41" i="16"/>
  <c r="DB41" i="16"/>
  <c r="DA41" i="16"/>
  <c r="CZ41" i="16"/>
  <c r="CY41" i="16"/>
  <c r="CX41" i="16"/>
  <c r="CW41" i="16"/>
  <c r="CV41" i="16"/>
  <c r="CU41" i="16"/>
  <c r="CT41" i="16"/>
  <c r="CS41" i="16"/>
  <c r="CR41" i="16"/>
  <c r="CQ41" i="16"/>
  <c r="CP41" i="16"/>
  <c r="CO41" i="16"/>
  <c r="CN41" i="16"/>
  <c r="CM41" i="16"/>
  <c r="CL41" i="16"/>
  <c r="CK41" i="16"/>
  <c r="CJ41" i="16"/>
  <c r="CI41" i="16"/>
  <c r="CH41" i="16"/>
  <c r="CG41" i="16"/>
  <c r="CF41" i="16"/>
  <c r="CE41" i="16"/>
  <c r="CD41" i="16"/>
  <c r="CC41" i="16"/>
  <c r="CB41" i="16"/>
  <c r="CA41" i="16"/>
  <c r="BZ41" i="16"/>
  <c r="BY41" i="16"/>
  <c r="BX41" i="16"/>
  <c r="BW41" i="16"/>
  <c r="BV41" i="16"/>
  <c r="BU41" i="16"/>
  <c r="BT41" i="16"/>
  <c r="BS41" i="16"/>
  <c r="BR41" i="16"/>
  <c r="BQ41" i="16"/>
  <c r="BP41" i="16"/>
  <c r="BO41" i="16"/>
  <c r="BN41" i="16"/>
  <c r="BM41" i="16"/>
  <c r="BL41" i="16"/>
  <c r="BK41" i="16"/>
  <c r="BJ41" i="16"/>
  <c r="BI41" i="16"/>
  <c r="BH41" i="16"/>
  <c r="BG41" i="16"/>
  <c r="BF41" i="16"/>
  <c r="BE41" i="16"/>
  <c r="BD41" i="16"/>
  <c r="BC41" i="16"/>
  <c r="BB41" i="16"/>
  <c r="BA41" i="16"/>
  <c r="AZ41" i="16"/>
  <c r="AY41" i="16"/>
  <c r="AX41" i="16"/>
  <c r="AW41" i="16"/>
  <c r="AV41" i="16"/>
  <c r="AU41" i="16"/>
  <c r="AT41" i="16"/>
  <c r="AS41" i="16"/>
  <c r="AR41" i="16"/>
  <c r="AQ41" i="16"/>
  <c r="AP41" i="16"/>
  <c r="AO41" i="16"/>
  <c r="AN41" i="16"/>
  <c r="AM41" i="16"/>
  <c r="AL41" i="16"/>
  <c r="AK41" i="16"/>
  <c r="AJ41" i="16"/>
  <c r="AI41" i="16"/>
  <c r="AH41" i="16"/>
  <c r="AG41" i="16"/>
  <c r="AF41" i="16"/>
  <c r="AE41" i="16"/>
  <c r="AD41" i="16"/>
  <c r="AC41" i="16"/>
  <c r="AB41" i="16"/>
  <c r="AA41" i="16"/>
  <c r="Z41" i="16"/>
  <c r="Y41" i="16"/>
  <c r="X41" i="16"/>
  <c r="W41" i="16"/>
  <c r="V41" i="16"/>
  <c r="U41" i="16"/>
  <c r="T41" i="16"/>
  <c r="S41" i="16"/>
  <c r="R41" i="16"/>
  <c r="Q41" i="16"/>
  <c r="P41" i="16"/>
  <c r="O41" i="16"/>
  <c r="N41" i="16"/>
  <c r="GB40" i="16"/>
  <c r="GC40" i="16" s="1"/>
  <c r="GF40" i="16" s="1"/>
  <c r="FX40" i="16"/>
  <c r="GB39" i="16"/>
  <c r="GC39" i="16" s="1"/>
  <c r="GF39" i="16" s="1"/>
  <c r="FX39" i="16"/>
  <c r="GB38" i="16"/>
  <c r="GC38" i="16" s="1"/>
  <c r="FX38" i="16"/>
  <c r="FU36" i="16"/>
  <c r="FU45" i="16" s="1"/>
  <c r="FT36" i="16"/>
  <c r="FT45" i="16" s="1"/>
  <c r="FS36" i="16"/>
  <c r="FS45" i="16" s="1"/>
  <c r="FR36" i="16"/>
  <c r="FR45" i="16" s="1"/>
  <c r="FQ36" i="16"/>
  <c r="FQ45" i="16" s="1"/>
  <c r="FP36" i="16"/>
  <c r="FP45" i="16" s="1"/>
  <c r="FO36" i="16"/>
  <c r="FO45" i="16" s="1"/>
  <c r="FN36" i="16"/>
  <c r="FN45" i="16" s="1"/>
  <c r="FM36" i="16"/>
  <c r="FM45" i="16" s="1"/>
  <c r="FL36" i="16"/>
  <c r="FL45" i="16" s="1"/>
  <c r="FK36" i="16"/>
  <c r="FK45" i="16" s="1"/>
  <c r="FJ36" i="16"/>
  <c r="FJ45" i="16" s="1"/>
  <c r="FI36" i="16"/>
  <c r="FI45" i="16" s="1"/>
  <c r="FH36" i="16"/>
  <c r="FH45" i="16" s="1"/>
  <c r="FG36" i="16"/>
  <c r="FG45" i="16" s="1"/>
  <c r="FF36" i="16"/>
  <c r="FF45" i="16" s="1"/>
  <c r="FE36" i="16"/>
  <c r="FE45" i="16" s="1"/>
  <c r="FD36" i="16"/>
  <c r="FD45" i="16" s="1"/>
  <c r="FC36" i="16"/>
  <c r="FC45" i="16" s="1"/>
  <c r="FB36" i="16"/>
  <c r="FB45" i="16" s="1"/>
  <c r="FA36" i="16"/>
  <c r="FA45" i="16" s="1"/>
  <c r="EZ36" i="16"/>
  <c r="EZ45" i="16" s="1"/>
  <c r="EY36" i="16"/>
  <c r="EY45" i="16" s="1"/>
  <c r="EX36" i="16"/>
  <c r="EX45" i="16" s="1"/>
  <c r="EW36" i="16"/>
  <c r="EW45" i="16" s="1"/>
  <c r="EV36" i="16"/>
  <c r="EV45" i="16" s="1"/>
  <c r="EU36" i="16"/>
  <c r="EU45" i="16" s="1"/>
  <c r="ET36" i="16"/>
  <c r="ET45" i="16" s="1"/>
  <c r="ES36" i="16"/>
  <c r="ES45" i="16" s="1"/>
  <c r="ER36" i="16"/>
  <c r="ER45" i="16" s="1"/>
  <c r="EQ36" i="16"/>
  <c r="EQ45" i="16" s="1"/>
  <c r="EP36" i="16"/>
  <c r="EP45" i="16" s="1"/>
  <c r="EO36" i="16"/>
  <c r="EO45" i="16" s="1"/>
  <c r="EN36" i="16"/>
  <c r="EN45" i="16" s="1"/>
  <c r="EM36" i="16"/>
  <c r="EM45" i="16" s="1"/>
  <c r="EL36" i="16"/>
  <c r="EL45" i="16" s="1"/>
  <c r="EK36" i="16"/>
  <c r="EK45" i="16" s="1"/>
  <c r="EJ36" i="16"/>
  <c r="EJ45" i="16" s="1"/>
  <c r="EI36" i="16"/>
  <c r="EI45" i="16" s="1"/>
  <c r="EH36" i="16"/>
  <c r="EH45" i="16" s="1"/>
  <c r="EG36" i="16"/>
  <c r="EG45" i="16" s="1"/>
  <c r="EF36" i="16"/>
  <c r="EF45" i="16" s="1"/>
  <c r="EE36" i="16"/>
  <c r="EE45" i="16" s="1"/>
  <c r="ED36" i="16"/>
  <c r="ED45" i="16" s="1"/>
  <c r="EC36" i="16"/>
  <c r="EC45" i="16" s="1"/>
  <c r="EB36" i="16"/>
  <c r="EB45" i="16" s="1"/>
  <c r="EA36" i="16"/>
  <c r="EA45" i="16" s="1"/>
  <c r="DZ36" i="16"/>
  <c r="DZ45" i="16" s="1"/>
  <c r="DY36" i="16"/>
  <c r="DY45" i="16" s="1"/>
  <c r="DX36" i="16"/>
  <c r="DX45" i="16" s="1"/>
  <c r="DW36" i="16"/>
  <c r="DW45" i="16" s="1"/>
  <c r="DV36" i="16"/>
  <c r="DV45" i="16" s="1"/>
  <c r="DU36" i="16"/>
  <c r="DU45" i="16" s="1"/>
  <c r="DT36" i="16"/>
  <c r="DT45" i="16" s="1"/>
  <c r="DS36" i="16"/>
  <c r="DS45" i="16" s="1"/>
  <c r="DR36" i="16"/>
  <c r="DR45" i="16" s="1"/>
  <c r="DQ36" i="16"/>
  <c r="DQ45" i="16" s="1"/>
  <c r="DP36" i="16"/>
  <c r="DP45" i="16" s="1"/>
  <c r="DO36" i="16"/>
  <c r="DO45" i="16" s="1"/>
  <c r="DN36" i="16"/>
  <c r="DN45" i="16" s="1"/>
  <c r="DM36" i="16"/>
  <c r="DM45" i="16" s="1"/>
  <c r="DL36" i="16"/>
  <c r="DL45" i="16" s="1"/>
  <c r="DK36" i="16"/>
  <c r="DK45" i="16" s="1"/>
  <c r="DJ36" i="16"/>
  <c r="DJ45" i="16" s="1"/>
  <c r="DI36" i="16"/>
  <c r="DI45" i="16" s="1"/>
  <c r="DH36" i="16"/>
  <c r="DH45" i="16" s="1"/>
  <c r="DG36" i="16"/>
  <c r="DG45" i="16" s="1"/>
  <c r="DF36" i="16"/>
  <c r="DF45" i="16" s="1"/>
  <c r="DE36" i="16"/>
  <c r="DE45" i="16" s="1"/>
  <c r="DD36" i="16"/>
  <c r="DD45" i="16" s="1"/>
  <c r="DC36" i="16"/>
  <c r="DC45" i="16" s="1"/>
  <c r="DB36" i="16"/>
  <c r="DB45" i="16" s="1"/>
  <c r="DA36" i="16"/>
  <c r="DA45" i="16" s="1"/>
  <c r="CZ36" i="16"/>
  <c r="CZ45" i="16" s="1"/>
  <c r="CY36" i="16"/>
  <c r="CY45" i="16" s="1"/>
  <c r="CX36" i="16"/>
  <c r="CX45" i="16" s="1"/>
  <c r="CW36" i="16"/>
  <c r="CW45" i="16" s="1"/>
  <c r="CV36" i="16"/>
  <c r="CV45" i="16" s="1"/>
  <c r="CU36" i="16"/>
  <c r="CU45" i="16" s="1"/>
  <c r="CT36" i="16"/>
  <c r="CT45" i="16" s="1"/>
  <c r="CS36" i="16"/>
  <c r="CS45" i="16" s="1"/>
  <c r="CR36" i="16"/>
  <c r="CR45" i="16" s="1"/>
  <c r="CQ36" i="16"/>
  <c r="CQ45" i="16" s="1"/>
  <c r="CP36" i="16"/>
  <c r="CP45" i="16" s="1"/>
  <c r="CO36" i="16"/>
  <c r="CO45" i="16" s="1"/>
  <c r="CN36" i="16"/>
  <c r="CN45" i="16" s="1"/>
  <c r="CM36" i="16"/>
  <c r="CM45" i="16" s="1"/>
  <c r="CL36" i="16"/>
  <c r="CL45" i="16" s="1"/>
  <c r="CK36" i="16"/>
  <c r="CK45" i="16" s="1"/>
  <c r="CJ36" i="16"/>
  <c r="CJ45" i="16" s="1"/>
  <c r="CI36" i="16"/>
  <c r="CI45" i="16" s="1"/>
  <c r="CH36" i="16"/>
  <c r="CH45" i="16" s="1"/>
  <c r="CG36" i="16"/>
  <c r="CG45" i="16" s="1"/>
  <c r="CF36" i="16"/>
  <c r="CF45" i="16" s="1"/>
  <c r="CE36" i="16"/>
  <c r="CE45" i="16" s="1"/>
  <c r="CD36" i="16"/>
  <c r="CD45" i="16" s="1"/>
  <c r="CC36" i="16"/>
  <c r="CC45" i="16" s="1"/>
  <c r="CB36" i="16"/>
  <c r="CB45" i="16" s="1"/>
  <c r="CA36" i="16"/>
  <c r="CA45" i="16" s="1"/>
  <c r="BZ36" i="16"/>
  <c r="BZ45" i="16" s="1"/>
  <c r="BY36" i="16"/>
  <c r="BY45" i="16" s="1"/>
  <c r="BX36" i="16"/>
  <c r="BX45" i="16" s="1"/>
  <c r="BW36" i="16"/>
  <c r="BW45" i="16" s="1"/>
  <c r="BV36" i="16"/>
  <c r="BV45" i="16" s="1"/>
  <c r="BU36" i="16"/>
  <c r="BU45" i="16" s="1"/>
  <c r="BT36" i="16"/>
  <c r="BT45" i="16" s="1"/>
  <c r="BS36" i="16"/>
  <c r="BS45" i="16" s="1"/>
  <c r="BR36" i="16"/>
  <c r="BR45" i="16" s="1"/>
  <c r="BQ36" i="16"/>
  <c r="BQ45" i="16" s="1"/>
  <c r="BP36" i="16"/>
  <c r="BP45" i="16" s="1"/>
  <c r="BO36" i="16"/>
  <c r="BO45" i="16" s="1"/>
  <c r="BN36" i="16"/>
  <c r="BN45" i="16" s="1"/>
  <c r="BM36" i="16"/>
  <c r="BM45" i="16" s="1"/>
  <c r="BL36" i="16"/>
  <c r="BL45" i="16" s="1"/>
  <c r="BK36" i="16"/>
  <c r="BK45" i="16" s="1"/>
  <c r="BJ36" i="16"/>
  <c r="BJ45" i="16" s="1"/>
  <c r="BI36" i="16"/>
  <c r="BI45" i="16" s="1"/>
  <c r="BH36" i="16"/>
  <c r="BH45" i="16" s="1"/>
  <c r="BG36" i="16"/>
  <c r="BG45" i="16" s="1"/>
  <c r="BF36" i="16"/>
  <c r="BF45" i="16" s="1"/>
  <c r="BE36" i="16"/>
  <c r="BE45" i="16" s="1"/>
  <c r="BD36" i="16"/>
  <c r="BD45" i="16" s="1"/>
  <c r="BC36" i="16"/>
  <c r="BC45" i="16" s="1"/>
  <c r="BB36" i="16"/>
  <c r="BB45" i="16" s="1"/>
  <c r="BA36" i="16"/>
  <c r="BA45" i="16" s="1"/>
  <c r="AZ36" i="16"/>
  <c r="AZ45" i="16" s="1"/>
  <c r="AY36" i="16"/>
  <c r="AY45" i="16" s="1"/>
  <c r="AX36" i="16"/>
  <c r="AX45" i="16" s="1"/>
  <c r="AW36" i="16"/>
  <c r="AW45" i="16" s="1"/>
  <c r="AV36" i="16"/>
  <c r="AV45" i="16" s="1"/>
  <c r="AU36" i="16"/>
  <c r="AU45" i="16" s="1"/>
  <c r="AT36" i="16"/>
  <c r="AT45" i="16" s="1"/>
  <c r="AS36" i="16"/>
  <c r="AS45" i="16" s="1"/>
  <c r="AR36" i="16"/>
  <c r="AR45" i="16" s="1"/>
  <c r="AQ36" i="16"/>
  <c r="AQ45" i="16" s="1"/>
  <c r="AP36" i="16"/>
  <c r="AP45" i="16" s="1"/>
  <c r="AO36" i="16"/>
  <c r="AO45" i="16" s="1"/>
  <c r="AN36" i="16"/>
  <c r="AN45" i="16" s="1"/>
  <c r="AM36" i="16"/>
  <c r="AM45" i="16" s="1"/>
  <c r="AL36" i="16"/>
  <c r="AL45" i="16" s="1"/>
  <c r="AK36" i="16"/>
  <c r="AK45" i="16" s="1"/>
  <c r="AJ36" i="16"/>
  <c r="AJ45" i="16" s="1"/>
  <c r="AI36" i="16"/>
  <c r="AI45" i="16" s="1"/>
  <c r="AH36" i="16"/>
  <c r="AH45" i="16" s="1"/>
  <c r="AG36" i="16"/>
  <c r="AG45" i="16" s="1"/>
  <c r="AF36" i="16"/>
  <c r="AF45" i="16" s="1"/>
  <c r="AE36" i="16"/>
  <c r="AE45" i="16" s="1"/>
  <c r="AD36" i="16"/>
  <c r="AD45" i="16" s="1"/>
  <c r="AC36" i="16"/>
  <c r="AC45" i="16" s="1"/>
  <c r="AB36" i="16"/>
  <c r="AB45" i="16" s="1"/>
  <c r="AA36" i="16"/>
  <c r="AA45" i="16" s="1"/>
  <c r="Z36" i="16"/>
  <c r="Z45" i="16" s="1"/>
  <c r="Y36" i="16"/>
  <c r="Y45" i="16" s="1"/>
  <c r="X36" i="16"/>
  <c r="X45" i="16" s="1"/>
  <c r="W36" i="16"/>
  <c r="W45" i="16" s="1"/>
  <c r="V36" i="16"/>
  <c r="V45" i="16" s="1"/>
  <c r="U36" i="16"/>
  <c r="U45" i="16" s="1"/>
  <c r="T36" i="16"/>
  <c r="T45" i="16" s="1"/>
  <c r="S36" i="16"/>
  <c r="S45" i="16" s="1"/>
  <c r="R36" i="16"/>
  <c r="R45" i="16" s="1"/>
  <c r="Q36" i="16"/>
  <c r="Q45" i="16" s="1"/>
  <c r="P36" i="16"/>
  <c r="P45" i="16" s="1"/>
  <c r="O36" i="16"/>
  <c r="O45" i="16" s="1"/>
  <c r="N36" i="16"/>
  <c r="N45" i="16" s="1"/>
  <c r="N46" i="16" s="1"/>
  <c r="L36" i="16"/>
  <c r="K36" i="16"/>
  <c r="J36" i="16"/>
  <c r="H36" i="16"/>
  <c r="G36" i="16"/>
  <c r="F36" i="16"/>
  <c r="FX35" i="16"/>
  <c r="FV35" i="16"/>
  <c r="GB34" i="16"/>
  <c r="GC34" i="16" s="1"/>
  <c r="GF34" i="16" s="1"/>
  <c r="FY34" i="16"/>
  <c r="FX34" i="16"/>
  <c r="FV34" i="16"/>
  <c r="GB33" i="16"/>
  <c r="GC33" i="16" s="1"/>
  <c r="GF33" i="16" s="1"/>
  <c r="FY33" i="16"/>
  <c r="FX33" i="16"/>
  <c r="FV33" i="16"/>
  <c r="GB32" i="16"/>
  <c r="GC32" i="16" s="1"/>
  <c r="GF32" i="16" s="1"/>
  <c r="FY32" i="16"/>
  <c r="FX32" i="16"/>
  <c r="FV32" i="16"/>
  <c r="GB31" i="16"/>
  <c r="GC31" i="16" s="1"/>
  <c r="GF31" i="16" s="1"/>
  <c r="FY31" i="16"/>
  <c r="FX31" i="16"/>
  <c r="FV31" i="16"/>
  <c r="GB30" i="16"/>
  <c r="GC30" i="16" s="1"/>
  <c r="GF30" i="16" s="1"/>
  <c r="FY30" i="16"/>
  <c r="FX30" i="16"/>
  <c r="FV30" i="16"/>
  <c r="GB29" i="16"/>
  <c r="GC29" i="16" s="1"/>
  <c r="GF29" i="16" s="1"/>
  <c r="FY29" i="16"/>
  <c r="FX29" i="16"/>
  <c r="FV29" i="16"/>
  <c r="GB28" i="16"/>
  <c r="GC28" i="16" s="1"/>
  <c r="GF28" i="16" s="1"/>
  <c r="FY28" i="16"/>
  <c r="FX28" i="16"/>
  <c r="FV28" i="16"/>
  <c r="GB27" i="16"/>
  <c r="GC27" i="16" s="1"/>
  <c r="GF27" i="16" s="1"/>
  <c r="FY27" i="16"/>
  <c r="FX27" i="16"/>
  <c r="FV27" i="16"/>
  <c r="GB26" i="16"/>
  <c r="GC26" i="16" s="1"/>
  <c r="GF26" i="16" s="1"/>
  <c r="FY26" i="16"/>
  <c r="FX26" i="16"/>
  <c r="FV26" i="16"/>
  <c r="GB25" i="16"/>
  <c r="GC25" i="16" s="1"/>
  <c r="GF25" i="16" s="1"/>
  <c r="FY25" i="16"/>
  <c r="FX25" i="16"/>
  <c r="FV25" i="16"/>
  <c r="GB24" i="16"/>
  <c r="GC24" i="16" s="1"/>
  <c r="GF24" i="16" s="1"/>
  <c r="FY24" i="16"/>
  <c r="FX24" i="16"/>
  <c r="FV24" i="16"/>
  <c r="GB23" i="16"/>
  <c r="GC23" i="16" s="1"/>
  <c r="GF23" i="16" s="1"/>
  <c r="FY23" i="16"/>
  <c r="FX23" i="16"/>
  <c r="FV23" i="16"/>
  <c r="GB22" i="16"/>
  <c r="GC22" i="16" s="1"/>
  <c r="GF22" i="16" s="1"/>
  <c r="FY22" i="16"/>
  <c r="FX22" i="16"/>
  <c r="FV22" i="16"/>
  <c r="GB21" i="16"/>
  <c r="GC21" i="16" s="1"/>
  <c r="GF21" i="16" s="1"/>
  <c r="FY21" i="16"/>
  <c r="FX21" i="16"/>
  <c r="FV21" i="16"/>
  <c r="GB20" i="16"/>
  <c r="GC20" i="16" s="1"/>
  <c r="GF20" i="16" s="1"/>
  <c r="FY20" i="16"/>
  <c r="FX20" i="16"/>
  <c r="FV20" i="16"/>
  <c r="GB19" i="16"/>
  <c r="GC19" i="16" s="1"/>
  <c r="GF19" i="16" s="1"/>
  <c r="FY19" i="16"/>
  <c r="FX19" i="16"/>
  <c r="FV19" i="16"/>
  <c r="GB18" i="16"/>
  <c r="GC18" i="16" s="1"/>
  <c r="GF18" i="16" s="1"/>
  <c r="FY18" i="16"/>
  <c r="FX18" i="16"/>
  <c r="FV18" i="16"/>
  <c r="GB17" i="16"/>
  <c r="GC17" i="16" s="1"/>
  <c r="GF17" i="16" s="1"/>
  <c r="FY17" i="16"/>
  <c r="FX17" i="16"/>
  <c r="FV17" i="16"/>
  <c r="GB16" i="16"/>
  <c r="GC16" i="16" s="1"/>
  <c r="GF16" i="16" s="1"/>
  <c r="FY16" i="16"/>
  <c r="FX16" i="16"/>
  <c r="FV16" i="16"/>
  <c r="GB15" i="16"/>
  <c r="GC15" i="16" s="1"/>
  <c r="GF15" i="16" s="1"/>
  <c r="FY15" i="16"/>
  <c r="FX15" i="16"/>
  <c r="FV15" i="16"/>
  <c r="GB14" i="16"/>
  <c r="GC14" i="16" s="1"/>
  <c r="GF14" i="16" s="1"/>
  <c r="FY14" i="16"/>
  <c r="FX14" i="16"/>
  <c r="FV14" i="16"/>
  <c r="GB13" i="16"/>
  <c r="GC13" i="16" s="1"/>
  <c r="GF13" i="16" s="1"/>
  <c r="FY13" i="16"/>
  <c r="FX13" i="16"/>
  <c r="FV13" i="16"/>
  <c r="GB12" i="16"/>
  <c r="GC12" i="16" s="1"/>
  <c r="GF12" i="16" s="1"/>
  <c r="FY12" i="16"/>
  <c r="FX12" i="16"/>
  <c r="FV12" i="16"/>
  <c r="GB11" i="16"/>
  <c r="GC11" i="16" s="1"/>
  <c r="GF11" i="16" s="1"/>
  <c r="FY11" i="16"/>
  <c r="FX11" i="16"/>
  <c r="FV11" i="16"/>
  <c r="GB10" i="16"/>
  <c r="GC10" i="16" s="1"/>
  <c r="GF10" i="16" s="1"/>
  <c r="FY10" i="16"/>
  <c r="FX10" i="16"/>
  <c r="FV10" i="16"/>
  <c r="GB9" i="16"/>
  <c r="GC9" i="16" s="1"/>
  <c r="GF9" i="16" s="1"/>
  <c r="FY9" i="16"/>
  <c r="FX9" i="16"/>
  <c r="FV9" i="16"/>
  <c r="GB8" i="16"/>
  <c r="GC8" i="16" s="1"/>
  <c r="GF8" i="16" s="1"/>
  <c r="FX8" i="16"/>
  <c r="GB7" i="16"/>
  <c r="GC7" i="16" s="1"/>
  <c r="FY7" i="16"/>
  <c r="FX7" i="16"/>
  <c r="FV7" i="16"/>
  <c r="O5" i="16"/>
  <c r="O44" i="16" s="1"/>
  <c r="O43" i="16" s="1"/>
  <c r="N4" i="16"/>
  <c r="N43" i="16" s="1"/>
  <c r="AB13" i="15"/>
  <c r="AD13" i="15" s="1"/>
  <c r="AF13" i="15" s="1"/>
  <c r="P53" i="16" l="1"/>
  <c r="Q53" i="16" s="1"/>
  <c r="R53" i="16" s="1"/>
  <c r="S53" i="16" s="1"/>
  <c r="T53" i="16" s="1"/>
  <c r="U53" i="16" s="1"/>
  <c r="V53" i="16" s="1"/>
  <c r="W53" i="16" s="1"/>
  <c r="X53" i="16" s="1"/>
  <c r="Y53" i="16" s="1"/>
  <c r="Z53" i="16" s="1"/>
  <c r="AA53" i="16" s="1"/>
  <c r="AB53" i="16" s="1"/>
  <c r="AC53" i="16" s="1"/>
  <c r="AD53" i="16" s="1"/>
  <c r="AE53" i="16" s="1"/>
  <c r="AF53" i="16" s="1"/>
  <c r="P5" i="16"/>
  <c r="P44" i="16" s="1"/>
  <c r="P43" i="16" s="1"/>
  <c r="GC41" i="16"/>
  <c r="GF38" i="16"/>
  <c r="GF41" i="16" s="1"/>
  <c r="O46" i="16"/>
  <c r="P46" i="16" s="1"/>
  <c r="Q46" i="16" s="1"/>
  <c r="R46" i="16" s="1"/>
  <c r="S46" i="16" s="1"/>
  <c r="T46" i="16" s="1"/>
  <c r="U46" i="16" s="1"/>
  <c r="V46" i="16" s="1"/>
  <c r="W46" i="16" s="1"/>
  <c r="X46" i="16" s="1"/>
  <c r="Y46" i="16" s="1"/>
  <c r="Z46" i="16" s="1"/>
  <c r="AA46" i="16" s="1"/>
  <c r="AB46" i="16" s="1"/>
  <c r="AC46" i="16" s="1"/>
  <c r="AD46" i="16" s="1"/>
  <c r="AE46" i="16" s="1"/>
  <c r="AF46" i="16" s="1"/>
  <c r="AG46" i="16" s="1"/>
  <c r="AH46" i="16" s="1"/>
  <c r="AI46" i="16" s="1"/>
  <c r="AJ46" i="16" s="1"/>
  <c r="AK46" i="16" s="1"/>
  <c r="AL46" i="16" s="1"/>
  <c r="AM46" i="16" s="1"/>
  <c r="AN46" i="16" s="1"/>
  <c r="AO46" i="16" s="1"/>
  <c r="AP46" i="16" s="1"/>
  <c r="AQ46" i="16" s="1"/>
  <c r="AR46" i="16" s="1"/>
  <c r="AO48" i="16"/>
  <c r="AN48" i="16"/>
  <c r="AP48" i="16" s="1"/>
  <c r="AQ48" i="16" s="1"/>
  <c r="AR48" i="16" s="1"/>
  <c r="O4" i="16"/>
  <c r="GC36" i="16"/>
  <c r="GF7" i="16"/>
  <c r="GF36" i="16" s="1"/>
  <c r="S55" i="16"/>
  <c r="T55" i="16" s="1"/>
  <c r="AI57" i="16"/>
  <c r="DM48" i="16"/>
  <c r="DO48" i="16" s="1"/>
  <c r="DP48" i="16" s="1"/>
  <c r="DQ48" i="16" s="1"/>
  <c r="ET48" i="16" s="1"/>
  <c r="EU48" i="16" s="1"/>
  <c r="EV48" i="16" s="1"/>
  <c r="EW48" i="16" s="1"/>
  <c r="EX48" i="16" s="1"/>
  <c r="EY48" i="16" s="1"/>
  <c r="EZ48" i="16" s="1"/>
  <c r="FA48" i="16" s="1"/>
  <c r="FB48" i="16" s="1"/>
  <c r="FC48" i="16" s="1"/>
  <c r="FD48" i="16" s="1"/>
  <c r="FE48" i="16" s="1"/>
  <c r="FF48" i="16" s="1"/>
  <c r="FG48" i="16" s="1"/>
  <c r="FH48" i="16" s="1"/>
  <c r="FI48" i="16" s="1"/>
  <c r="FJ48" i="16" s="1"/>
  <c r="FK48" i="16" s="1"/>
  <c r="FL48" i="16" s="1"/>
  <c r="FM48" i="16" s="1"/>
  <c r="FN48" i="16" s="1"/>
  <c r="FO48" i="16" s="1"/>
  <c r="FP48" i="16" s="1"/>
  <c r="FQ48" i="16" s="1"/>
  <c r="FR48" i="16" s="1"/>
  <c r="FS48" i="16" s="1"/>
  <c r="FT48" i="16" s="1"/>
  <c r="FU48" i="16" s="1"/>
  <c r="DN48" i="16"/>
  <c r="Q57" i="16"/>
  <c r="R51" i="16"/>
  <c r="P57" i="16"/>
  <c r="Q5" i="16" l="1"/>
  <c r="Q44" i="16" s="1"/>
  <c r="Q43" i="16" s="1"/>
  <c r="P4" i="16"/>
  <c r="GF43" i="16"/>
  <c r="GF48" i="16" s="1"/>
  <c r="U55" i="16"/>
  <c r="V55" i="16" s="1"/>
  <c r="W55" i="16" s="1"/>
  <c r="AN53" i="16"/>
  <c r="AN54" i="16" s="1"/>
  <c r="R57" i="16"/>
  <c r="S51" i="16"/>
  <c r="CB48" i="16"/>
  <c r="CC48" i="16" s="1"/>
  <c r="AS48" i="16"/>
  <c r="AT48" i="16" s="1"/>
  <c r="AU48" i="16" s="1"/>
  <c r="AV48" i="16" s="1"/>
  <c r="AW48" i="16" s="1"/>
  <c r="AX48" i="16" s="1"/>
  <c r="AY48" i="16" s="1"/>
  <c r="AZ48" i="16" s="1"/>
  <c r="BA48" i="16" s="1"/>
  <c r="BB48" i="16" s="1"/>
  <c r="BC48" i="16" s="1"/>
  <c r="BD48" i="16" s="1"/>
  <c r="BE48" i="16" s="1"/>
  <c r="BF48" i="16" s="1"/>
  <c r="BG48" i="16" s="1"/>
  <c r="BH48" i="16" s="1"/>
  <c r="BI48" i="16" s="1"/>
  <c r="BJ48" i="16" s="1"/>
  <c r="BK48" i="16" s="1"/>
  <c r="BL48" i="16" s="1"/>
  <c r="BM48" i="16" s="1"/>
  <c r="BN48" i="16" s="1"/>
  <c r="BO48" i="16" s="1"/>
  <c r="BP48" i="16" s="1"/>
  <c r="BQ48" i="16" s="1"/>
  <c r="BR48" i="16" s="1"/>
  <c r="BS48" i="16" s="1"/>
  <c r="BT48" i="16" s="1"/>
  <c r="AO97" i="16"/>
  <c r="AP97" i="16" s="1"/>
  <c r="AI53" i="16"/>
  <c r="AI55" i="16" s="1"/>
  <c r="CB46" i="16"/>
  <c r="CC46" i="16" s="1"/>
  <c r="CD46" i="16" s="1"/>
  <c r="CE46" i="16" s="1"/>
  <c r="CF46" i="16" s="1"/>
  <c r="CG46" i="16" s="1"/>
  <c r="CH46" i="16" s="1"/>
  <c r="CI46" i="16" s="1"/>
  <c r="CJ46" i="16" s="1"/>
  <c r="CK46" i="16" s="1"/>
  <c r="CL46" i="16" s="1"/>
  <c r="CM46" i="16" s="1"/>
  <c r="CN46" i="16" s="1"/>
  <c r="CO46" i="16" s="1"/>
  <c r="AS46" i="16"/>
  <c r="AT46" i="16" s="1"/>
  <c r="AU46" i="16" s="1"/>
  <c r="AV46" i="16" s="1"/>
  <c r="AW46" i="16" s="1"/>
  <c r="AX46" i="16" s="1"/>
  <c r="AY46" i="16" s="1"/>
  <c r="AZ46" i="16" s="1"/>
  <c r="BA46" i="16" s="1"/>
  <c r="BB46" i="16" s="1"/>
  <c r="BC46" i="16" s="1"/>
  <c r="BD46" i="16" s="1"/>
  <c r="BE46" i="16" s="1"/>
  <c r="BF46" i="16" s="1"/>
  <c r="BG46" i="16" s="1"/>
  <c r="BH46" i="16" s="1"/>
  <c r="BI46" i="16" s="1"/>
  <c r="BJ46" i="16" s="1"/>
  <c r="BK46" i="16" s="1"/>
  <c r="BL46" i="16" s="1"/>
  <c r="BM46" i="16" s="1"/>
  <c r="BN46" i="16" s="1"/>
  <c r="BO46" i="16" s="1"/>
  <c r="BP46" i="16" s="1"/>
  <c r="BQ46" i="16" s="1"/>
  <c r="BR46" i="16" s="1"/>
  <c r="BS46" i="16" s="1"/>
  <c r="BT46" i="16" s="1"/>
  <c r="BU46" i="16" s="1"/>
  <c r="BV46" i="16" s="1"/>
  <c r="BW46" i="16" s="1"/>
  <c r="BX46" i="16" s="1"/>
  <c r="BY46" i="16" s="1"/>
  <c r="BZ46" i="16" s="1"/>
  <c r="CA46" i="16" s="1"/>
  <c r="DK46" i="16" s="1"/>
  <c r="DL46" i="16" s="1"/>
  <c r="DM46" i="16" s="1"/>
  <c r="DN46" i="16" s="1"/>
  <c r="DO46" i="16" s="1"/>
  <c r="DP46" i="16" s="1"/>
  <c r="DQ46" i="16" s="1"/>
  <c r="ET46" i="16" s="1"/>
  <c r="EU46" i="16" s="1"/>
  <c r="EV46" i="16" s="1"/>
  <c r="EW46" i="16" s="1"/>
  <c r="EX46" i="16" s="1"/>
  <c r="EY46" i="16" s="1"/>
  <c r="EZ46" i="16" s="1"/>
  <c r="FA46" i="16" s="1"/>
  <c r="FB46" i="16" s="1"/>
  <c r="FC46" i="16" s="1"/>
  <c r="FD46" i="16" s="1"/>
  <c r="FE46" i="16" s="1"/>
  <c r="FF46" i="16" s="1"/>
  <c r="FG46" i="16" s="1"/>
  <c r="FH46" i="16" s="1"/>
  <c r="FI46" i="16" s="1"/>
  <c r="FJ46" i="16" s="1"/>
  <c r="FK46" i="16" s="1"/>
  <c r="FL46" i="16" s="1"/>
  <c r="FM46" i="16" s="1"/>
  <c r="FN46" i="16" s="1"/>
  <c r="FO46" i="16" s="1"/>
  <c r="FP46" i="16" s="1"/>
  <c r="FQ46" i="16" s="1"/>
  <c r="FR46" i="16" s="1"/>
  <c r="FS46" i="16" s="1"/>
  <c r="FT46" i="16" s="1"/>
  <c r="FU46" i="16" s="1"/>
  <c r="R5" i="16" l="1"/>
  <c r="R4" i="16" s="1"/>
  <c r="Q4" i="16"/>
  <c r="CE48" i="16"/>
  <c r="CD48" i="16"/>
  <c r="CF48" i="16" s="1"/>
  <c r="CG48" i="16" s="1"/>
  <c r="CH48" i="16" s="1"/>
  <c r="CI48" i="16" s="1"/>
  <c r="CJ48" i="16" s="1"/>
  <c r="CK48" i="16" s="1"/>
  <c r="CL48" i="16" s="1"/>
  <c r="CM48" i="16" s="1"/>
  <c r="CN48" i="16" s="1"/>
  <c r="CO48" i="16" s="1"/>
  <c r="CP46" i="16"/>
  <c r="CQ46" i="16" s="1"/>
  <c r="CR46" i="16" s="1"/>
  <c r="CS46" i="16" s="1"/>
  <c r="CT46" i="16" s="1"/>
  <c r="CU46" i="16" s="1"/>
  <c r="CV46" i="16" s="1"/>
  <c r="CW46" i="16" s="1"/>
  <c r="CX46" i="16" s="1"/>
  <c r="CY46" i="16" s="1"/>
  <c r="CZ46" i="16" s="1"/>
  <c r="DA46" i="16" s="1"/>
  <c r="DB46" i="16" s="1"/>
  <c r="DC46" i="16" s="1"/>
  <c r="DD46" i="16" s="1"/>
  <c r="DE46" i="16" s="1"/>
  <c r="DF46" i="16" s="1"/>
  <c r="DG46" i="16" s="1"/>
  <c r="DH46" i="16" s="1"/>
  <c r="DI46" i="16" s="1"/>
  <c r="DJ46" i="16" s="1"/>
  <c r="DR46" i="16"/>
  <c r="DS46" i="16" s="1"/>
  <c r="DT46" i="16" s="1"/>
  <c r="DU46" i="16" s="1"/>
  <c r="DV46" i="16" s="1"/>
  <c r="DW46" i="16" s="1"/>
  <c r="DX46" i="16" s="1"/>
  <c r="DY46" i="16" s="1"/>
  <c r="DZ46" i="16" s="1"/>
  <c r="EA46" i="16" s="1"/>
  <c r="EB46" i="16" s="1"/>
  <c r="EC46" i="16" s="1"/>
  <c r="ED46" i="16" s="1"/>
  <c r="EE46" i="16" s="1"/>
  <c r="EF46" i="16" s="1"/>
  <c r="EG46" i="16" s="1"/>
  <c r="EH46" i="16" s="1"/>
  <c r="EI46" i="16" s="1"/>
  <c r="EJ46" i="16" s="1"/>
  <c r="EK46" i="16" s="1"/>
  <c r="EL46" i="16" s="1"/>
  <c r="EM46" i="16" s="1"/>
  <c r="EN46" i="16" s="1"/>
  <c r="EO46" i="16" s="1"/>
  <c r="EP46" i="16" s="1"/>
  <c r="EQ46" i="16" s="1"/>
  <c r="ER46" i="16" s="1"/>
  <c r="ES46" i="16" s="1"/>
  <c r="X55" i="16"/>
  <c r="Y55" i="16" s="1"/>
  <c r="Z55" i="16" s="1"/>
  <c r="AA55" i="16" s="1"/>
  <c r="AB55" i="16" s="1"/>
  <c r="AC55" i="16" s="1"/>
  <c r="AD55" i="16" s="1"/>
  <c r="AE55" i="16" s="1"/>
  <c r="AF55" i="16" s="1"/>
  <c r="AN98" i="16" s="1"/>
  <c r="U64" i="16"/>
  <c r="T51" i="16"/>
  <c r="S57" i="16"/>
  <c r="R44" i="16" l="1"/>
  <c r="R43" i="16" s="1"/>
  <c r="S5" i="16"/>
  <c r="T5" i="16" s="1"/>
  <c r="T57" i="16"/>
  <c r="U51" i="16"/>
  <c r="AN99" i="16"/>
  <c r="AN96" i="16"/>
  <c r="CP48" i="16"/>
  <c r="CQ48" i="16" s="1"/>
  <c r="CR48" i="16" s="1"/>
  <c r="CS48" i="16" s="1"/>
  <c r="CT48" i="16" s="1"/>
  <c r="CU48" i="16" s="1"/>
  <c r="CV48" i="16" s="1"/>
  <c r="CW48" i="16" s="1"/>
  <c r="CX48" i="16" s="1"/>
  <c r="CY48" i="16" s="1"/>
  <c r="CZ48" i="16" s="1"/>
  <c r="DA48" i="16" s="1"/>
  <c r="DB48" i="16" s="1"/>
  <c r="DC48" i="16" s="1"/>
  <c r="DD48" i="16" s="1"/>
  <c r="DE48" i="16" s="1"/>
  <c r="DF48" i="16" s="1"/>
  <c r="DG48" i="16" s="1"/>
  <c r="DH48" i="16" s="1"/>
  <c r="DI48" i="16" s="1"/>
  <c r="DJ48" i="16" s="1"/>
  <c r="DR48" i="16"/>
  <c r="DS48" i="16" s="1"/>
  <c r="DT48" i="16" s="1"/>
  <c r="DU48" i="16" s="1"/>
  <c r="DV48" i="16" s="1"/>
  <c r="DW48" i="16" s="1"/>
  <c r="DX48" i="16" s="1"/>
  <c r="DY48" i="16" s="1"/>
  <c r="DZ48" i="16" s="1"/>
  <c r="EA48" i="16" s="1"/>
  <c r="EB48" i="16" s="1"/>
  <c r="EC48" i="16" s="1"/>
  <c r="ED48" i="16" s="1"/>
  <c r="EE48" i="16" s="1"/>
  <c r="EF48" i="16" s="1"/>
  <c r="EG48" i="16" s="1"/>
  <c r="EH48" i="16" s="1"/>
  <c r="EI48" i="16" s="1"/>
  <c r="EJ48" i="16" s="1"/>
  <c r="EK48" i="16" s="1"/>
  <c r="EL48" i="16" s="1"/>
  <c r="EM48" i="16" s="1"/>
  <c r="EN48" i="16" s="1"/>
  <c r="EO48" i="16" s="1"/>
  <c r="EP48" i="16" s="1"/>
  <c r="EQ48" i="16" s="1"/>
  <c r="ER48" i="16" s="1"/>
  <c r="ES48" i="16" s="1"/>
  <c r="S44" i="16" l="1"/>
  <c r="S43" i="16" s="1"/>
  <c r="S4" i="16"/>
  <c r="U57" i="16"/>
  <c r="V51" i="16"/>
  <c r="T44" i="16"/>
  <c r="T43" i="16" s="1"/>
  <c r="T4" i="16"/>
  <c r="U5" i="16"/>
  <c r="V57" i="16" l="1"/>
  <c r="W51" i="16"/>
  <c r="X51" i="16" s="1"/>
  <c r="Y51" i="16" s="1"/>
  <c r="Z51" i="16" s="1"/>
  <c r="AA51" i="16" s="1"/>
  <c r="AB51" i="16" s="1"/>
  <c r="AC51" i="16" s="1"/>
  <c r="AD51" i="16" s="1"/>
  <c r="AE51" i="16" s="1"/>
  <c r="AF51" i="16" s="1"/>
  <c r="U44" i="16"/>
  <c r="U43" i="16" s="1"/>
  <c r="V5" i="16"/>
  <c r="U4" i="16"/>
  <c r="V44" i="16" l="1"/>
  <c r="V43" i="16" s="1"/>
  <c r="W5" i="16"/>
  <c r="V4" i="16"/>
  <c r="W44" i="16" l="1"/>
  <c r="W43" i="16" s="1"/>
  <c r="X5" i="16"/>
  <c r="W4" i="16"/>
  <c r="X44" i="16" l="1"/>
  <c r="X43" i="16" s="1"/>
  <c r="Y5" i="16"/>
  <c r="X4" i="16"/>
  <c r="Y44" i="16" l="1"/>
  <c r="Y43" i="16" s="1"/>
  <c r="Y4" i="16"/>
  <c r="Z5" i="16"/>
  <c r="Z44" i="16" l="1"/>
  <c r="Z43" i="16" s="1"/>
  <c r="Z4" i="16"/>
  <c r="AA5" i="16"/>
  <c r="AA44" i="16" l="1"/>
  <c r="AA43" i="16" s="1"/>
  <c r="AA4" i="16"/>
  <c r="AB5" i="16"/>
  <c r="AB44" i="16" l="1"/>
  <c r="AB43" i="16" s="1"/>
  <c r="AB4" i="16"/>
  <c r="AC5" i="16"/>
  <c r="AC44" i="16" l="1"/>
  <c r="AC43" i="16" s="1"/>
  <c r="AD5" i="16"/>
  <c r="AC4" i="16"/>
  <c r="AD44" i="16" l="1"/>
  <c r="AD43" i="16" s="1"/>
  <c r="AE5" i="16"/>
  <c r="AD4" i="16"/>
  <c r="AE44" i="16" l="1"/>
  <c r="AE43" i="16" s="1"/>
  <c r="AF5" i="16"/>
  <c r="AE4" i="16"/>
  <c r="AF44" i="16" l="1"/>
  <c r="AF43" i="16" s="1"/>
  <c r="AG5" i="16"/>
  <c r="AF4" i="16"/>
  <c r="AG44" i="16" l="1"/>
  <c r="AG43" i="16" s="1"/>
  <c r="AG4" i="16"/>
  <c r="AH5" i="16"/>
  <c r="AH44" i="16" l="1"/>
  <c r="AH43" i="16" s="1"/>
  <c r="AH4" i="16"/>
  <c r="AI5" i="16"/>
  <c r="AI44" i="16" l="1"/>
  <c r="AI43" i="16" s="1"/>
  <c r="AI4" i="16"/>
  <c r="AJ5" i="16"/>
  <c r="AJ44" i="16" l="1"/>
  <c r="AJ43" i="16" s="1"/>
  <c r="AJ4" i="16"/>
  <c r="AK5" i="16"/>
  <c r="AK44" i="16" l="1"/>
  <c r="AK43" i="16" s="1"/>
  <c r="AL5" i="16"/>
  <c r="AK4" i="16"/>
  <c r="AL44" i="16" l="1"/>
  <c r="AL43" i="16" s="1"/>
  <c r="AM5" i="16"/>
  <c r="AL4" i="16"/>
  <c r="AM44" i="16" l="1"/>
  <c r="AM43" i="16" s="1"/>
  <c r="AN5" i="16"/>
  <c r="AM4" i="16"/>
  <c r="AN44" i="16" l="1"/>
  <c r="AN43" i="16" s="1"/>
  <c r="AO5" i="16"/>
  <c r="AN4" i="16"/>
  <c r="AO44" i="16" l="1"/>
  <c r="AO43" i="16" s="1"/>
  <c r="AP5" i="16"/>
  <c r="AO4" i="16"/>
  <c r="AP44" i="16" l="1"/>
  <c r="AP43" i="16" s="1"/>
  <c r="AP4" i="16"/>
  <c r="AQ5" i="16"/>
  <c r="AQ44" i="16" l="1"/>
  <c r="AQ43" i="16" s="1"/>
  <c r="AQ4" i="16"/>
  <c r="AR5" i="16"/>
  <c r="AR44" i="16" l="1"/>
  <c r="AR43" i="16" s="1"/>
  <c r="AR4" i="16"/>
  <c r="AS5" i="16"/>
  <c r="AS44" i="16" l="1"/>
  <c r="AS43" i="16" s="1"/>
  <c r="AT5" i="16"/>
  <c r="AS4" i="16"/>
  <c r="AT44" i="16" l="1"/>
  <c r="AT43" i="16" s="1"/>
  <c r="AU5" i="16"/>
  <c r="AT4" i="16"/>
  <c r="AU44" i="16" l="1"/>
  <c r="AU43" i="16" s="1"/>
  <c r="AV5" i="16"/>
  <c r="AU4" i="16"/>
  <c r="AV44" i="16" l="1"/>
  <c r="AV43" i="16" s="1"/>
  <c r="AW5" i="16"/>
  <c r="AV4" i="16"/>
  <c r="AW44" i="16" l="1"/>
  <c r="AW43" i="16" s="1"/>
  <c r="AW4" i="16"/>
  <c r="AX5" i="16"/>
  <c r="AX44" i="16" l="1"/>
  <c r="AX43" i="16" s="1"/>
  <c r="AX4" i="16"/>
  <c r="AY5" i="16"/>
  <c r="AY44" i="16" l="1"/>
  <c r="AY43" i="16" s="1"/>
  <c r="AY4" i="16"/>
  <c r="AZ5" i="16"/>
  <c r="AZ44" i="16" l="1"/>
  <c r="AZ43" i="16" s="1"/>
  <c r="AZ4" i="16"/>
  <c r="BA5" i="16"/>
  <c r="BA44" i="16" l="1"/>
  <c r="BA43" i="16" s="1"/>
  <c r="BB5" i="16"/>
  <c r="BA4" i="16"/>
  <c r="BB44" i="16" l="1"/>
  <c r="BB43" i="16" s="1"/>
  <c r="BC5" i="16"/>
  <c r="BB4" i="16"/>
  <c r="BD5" i="16" l="1"/>
  <c r="BC44" i="16"/>
  <c r="BC43" i="16" s="1"/>
  <c r="BC4" i="16"/>
  <c r="BD44" i="16" l="1"/>
  <c r="BD43" i="16" s="1"/>
  <c r="BE5" i="16"/>
  <c r="BD4" i="16"/>
  <c r="BE44" i="16" l="1"/>
  <c r="BE43" i="16" s="1"/>
  <c r="BF5" i="16"/>
  <c r="BE4" i="16"/>
  <c r="BF44" i="16" l="1"/>
  <c r="BF43" i="16" s="1"/>
  <c r="BG5" i="16"/>
  <c r="BF4" i="16"/>
  <c r="BG44" i="16" l="1"/>
  <c r="BG43" i="16" s="1"/>
  <c r="BG4" i="16"/>
  <c r="BH5" i="16"/>
  <c r="BI5" i="16" l="1"/>
  <c r="BH44" i="16"/>
  <c r="BH43" i="16" s="1"/>
  <c r="BH4" i="16"/>
  <c r="BI44" i="16" l="1"/>
  <c r="BI43" i="16" s="1"/>
  <c r="BJ5" i="16"/>
  <c r="BI4" i="16"/>
  <c r="BJ44" i="16" l="1"/>
  <c r="BJ43" i="16" s="1"/>
  <c r="BK5" i="16"/>
  <c r="BJ4" i="16"/>
  <c r="BK44" i="16" l="1"/>
  <c r="BK43" i="16" s="1"/>
  <c r="BL5" i="16"/>
  <c r="BK4" i="16"/>
  <c r="BL44" i="16" l="1"/>
  <c r="BL43" i="16" s="1"/>
  <c r="BL4" i="16"/>
  <c r="BM5" i="16"/>
  <c r="BM44" i="16" l="1"/>
  <c r="BM43" i="16" s="1"/>
  <c r="BM4" i="16"/>
  <c r="BN5" i="16"/>
  <c r="BN44" i="16" l="1"/>
  <c r="BN43" i="16" s="1"/>
  <c r="BN4" i="16"/>
  <c r="BO5" i="16"/>
  <c r="BO44" i="16" l="1"/>
  <c r="BO43" i="16" s="1"/>
  <c r="BO4" i="16"/>
  <c r="BP5" i="16"/>
  <c r="BQ5" i="16" l="1"/>
  <c r="BP44" i="16"/>
  <c r="BP43" i="16" s="1"/>
  <c r="BP4" i="16"/>
  <c r="BQ44" i="16" l="1"/>
  <c r="BQ43" i="16" s="1"/>
  <c r="BR5" i="16"/>
  <c r="BQ4" i="16"/>
  <c r="BR44" i="16" l="1"/>
  <c r="BR43" i="16" s="1"/>
  <c r="BS5" i="16"/>
  <c r="BR4" i="16"/>
  <c r="BS44" i="16" l="1"/>
  <c r="BS43" i="16" s="1"/>
  <c r="BT5" i="16"/>
  <c r="BS4" i="16"/>
  <c r="BT44" i="16" l="1"/>
  <c r="BT43" i="16" s="1"/>
  <c r="BU5" i="16"/>
  <c r="BT4" i="16"/>
  <c r="BU44" i="16" l="1"/>
  <c r="BU43" i="16" s="1"/>
  <c r="BV5" i="16"/>
  <c r="BU4" i="16"/>
  <c r="BV44" i="16" l="1"/>
  <c r="BV43" i="16" s="1"/>
  <c r="BW5" i="16"/>
  <c r="BV4" i="16"/>
  <c r="BW44" i="16" l="1"/>
  <c r="BW43" i="16" s="1"/>
  <c r="BW4" i="16"/>
  <c r="BX5" i="16"/>
  <c r="BY5" i="16" l="1"/>
  <c r="BX44" i="16"/>
  <c r="BX43" i="16" s="1"/>
  <c r="BX4" i="16"/>
  <c r="BY44" i="16" l="1"/>
  <c r="BY43" i="16" s="1"/>
  <c r="BZ5" i="16"/>
  <c r="BY4" i="16"/>
  <c r="BZ44" i="16" l="1"/>
  <c r="BZ43" i="16" s="1"/>
  <c r="CA5" i="16"/>
  <c r="BZ4" i="16"/>
  <c r="CA44" i="16" l="1"/>
  <c r="CA43" i="16" s="1"/>
  <c r="CB5" i="16"/>
  <c r="CA4" i="16"/>
  <c r="CB44" i="16" l="1"/>
  <c r="CB43" i="16" s="1"/>
  <c r="CB4" i="16"/>
  <c r="CC5" i="16"/>
  <c r="CC44" i="16" l="1"/>
  <c r="CC43" i="16" s="1"/>
  <c r="CC4" i="16"/>
  <c r="CD5" i="16"/>
  <c r="CD44" i="16" l="1"/>
  <c r="CD43" i="16" s="1"/>
  <c r="CD4" i="16"/>
  <c r="CE5" i="16"/>
  <c r="CE44" i="16" l="1"/>
  <c r="CE43" i="16" s="1"/>
  <c r="CE4" i="16"/>
  <c r="CF5" i="16"/>
  <c r="CF44" i="16" l="1"/>
  <c r="CF43" i="16" s="1"/>
  <c r="CG5" i="16"/>
  <c r="CF4" i="16"/>
  <c r="CG44" i="16" l="1"/>
  <c r="CG43" i="16" s="1"/>
  <c r="CH5" i="16"/>
  <c r="CG4" i="16"/>
  <c r="CH44" i="16" l="1"/>
  <c r="CH43" i="16" s="1"/>
  <c r="CI5" i="16"/>
  <c r="CH4" i="16"/>
  <c r="CI44" i="16" l="1"/>
  <c r="CI43" i="16" s="1"/>
  <c r="CJ5" i="16"/>
  <c r="CI4" i="16"/>
  <c r="CJ44" i="16" l="1"/>
  <c r="CJ43" i="16" s="1"/>
  <c r="CK5" i="16"/>
  <c r="CJ4" i="16"/>
  <c r="CK44" i="16" l="1"/>
  <c r="CK43" i="16" s="1"/>
  <c r="CL5" i="16"/>
  <c r="CK4" i="16"/>
  <c r="CL44" i="16" l="1"/>
  <c r="CL43" i="16" s="1"/>
  <c r="CM5" i="16"/>
  <c r="CL4" i="16"/>
  <c r="CM44" i="16" l="1"/>
  <c r="CM43" i="16" s="1"/>
  <c r="CM4" i="16"/>
  <c r="CN5" i="16"/>
  <c r="CO5" i="16" l="1"/>
  <c r="CN44" i="16"/>
  <c r="CN43" i="16" s="1"/>
  <c r="CN4" i="16"/>
  <c r="CO44" i="16" l="1"/>
  <c r="CO43" i="16" s="1"/>
  <c r="CP5" i="16"/>
  <c r="CO4" i="16"/>
  <c r="CP44" i="16" l="1"/>
  <c r="CP43" i="16" s="1"/>
  <c r="CQ5" i="16"/>
  <c r="CP4" i="16"/>
  <c r="CQ44" i="16" l="1"/>
  <c r="CQ43" i="16" s="1"/>
  <c r="CR5" i="16"/>
  <c r="CQ4" i="16"/>
  <c r="CR44" i="16" l="1"/>
  <c r="CR43" i="16" s="1"/>
  <c r="CR4" i="16"/>
  <c r="CS5" i="16"/>
  <c r="CS44" i="16" l="1"/>
  <c r="CS43" i="16" s="1"/>
  <c r="CS4" i="16"/>
  <c r="CT5" i="16"/>
  <c r="CT44" i="16" l="1"/>
  <c r="CT43" i="16" s="1"/>
  <c r="CT4" i="16"/>
  <c r="CU5" i="16"/>
  <c r="CU44" i="16" l="1"/>
  <c r="CU43" i="16" s="1"/>
  <c r="CU4" i="16"/>
  <c r="CV5" i="16"/>
  <c r="CW5" i="16" l="1"/>
  <c r="CV44" i="16"/>
  <c r="CV43" i="16" s="1"/>
  <c r="CV4" i="16"/>
  <c r="CW44" i="16" l="1"/>
  <c r="CW43" i="16" s="1"/>
  <c r="CX5" i="16"/>
  <c r="CW4" i="16"/>
  <c r="CX44" i="16" l="1"/>
  <c r="CX43" i="16" s="1"/>
  <c r="CY5" i="16"/>
  <c r="CX4" i="16"/>
  <c r="CY44" i="16" l="1"/>
  <c r="CY43" i="16" s="1"/>
  <c r="CZ5" i="16"/>
  <c r="CY4" i="16"/>
  <c r="CZ44" i="16" l="1"/>
  <c r="CZ43" i="16" s="1"/>
  <c r="DA5" i="16"/>
  <c r="CZ4" i="16"/>
  <c r="DA44" i="16" l="1"/>
  <c r="DA43" i="16" s="1"/>
  <c r="DB5" i="16"/>
  <c r="DA4" i="16"/>
  <c r="DB44" i="16" l="1"/>
  <c r="DB43" i="16" s="1"/>
  <c r="DC5" i="16"/>
  <c r="DB4" i="16"/>
  <c r="DC44" i="16" l="1"/>
  <c r="DC43" i="16" s="1"/>
  <c r="DC4" i="16"/>
  <c r="DD5" i="16"/>
  <c r="DE5" i="16" l="1"/>
  <c r="DD44" i="16"/>
  <c r="DD43" i="16" s="1"/>
  <c r="DD4" i="16"/>
  <c r="DE44" i="16" l="1"/>
  <c r="DE43" i="16" s="1"/>
  <c r="DF5" i="16"/>
  <c r="DE4" i="16"/>
  <c r="DF44" i="16" l="1"/>
  <c r="DF43" i="16" s="1"/>
  <c r="DG5" i="16"/>
  <c r="DF4" i="16"/>
  <c r="DG44" i="16" l="1"/>
  <c r="DG43" i="16" s="1"/>
  <c r="DH5" i="16"/>
  <c r="DG4" i="16"/>
  <c r="DH44" i="16" l="1"/>
  <c r="DH43" i="16" s="1"/>
  <c r="DH4" i="16"/>
  <c r="DI5" i="16"/>
  <c r="DI44" i="16" l="1"/>
  <c r="DI43" i="16" s="1"/>
  <c r="DI4" i="16"/>
  <c r="DJ5" i="16"/>
  <c r="DJ44" i="16" l="1"/>
  <c r="DJ43" i="16" s="1"/>
  <c r="DJ4" i="16"/>
  <c r="DK5" i="16"/>
  <c r="DK44" i="16" l="1"/>
  <c r="DK43" i="16" s="1"/>
  <c r="DK4" i="16"/>
  <c r="DL5" i="16"/>
  <c r="DL44" i="16" l="1"/>
  <c r="DL43" i="16" s="1"/>
  <c r="DM5" i="16"/>
  <c r="DL4" i="16"/>
  <c r="DM44" i="16" l="1"/>
  <c r="DM43" i="16" s="1"/>
  <c r="DN5" i="16"/>
  <c r="DM4" i="16"/>
  <c r="DN44" i="16" l="1"/>
  <c r="DN43" i="16" s="1"/>
  <c r="DO5" i="16"/>
  <c r="DN4" i="16"/>
  <c r="DO44" i="16" l="1"/>
  <c r="DO43" i="16" s="1"/>
  <c r="DP5" i="16"/>
  <c r="DO4" i="16"/>
  <c r="DQ5" i="16" l="1"/>
  <c r="DP44" i="16"/>
  <c r="DP43" i="16" s="1"/>
  <c r="DP4" i="16"/>
  <c r="DQ44" i="16" l="1"/>
  <c r="DQ43" i="16" s="1"/>
  <c r="DR5" i="16"/>
  <c r="DQ4" i="16"/>
  <c r="DR44" i="16" l="1"/>
  <c r="DR43" i="16" s="1"/>
  <c r="DS5" i="16"/>
  <c r="DR4" i="16"/>
  <c r="DS44" i="16" l="1"/>
  <c r="DS43" i="16" s="1"/>
  <c r="DT5" i="16"/>
  <c r="DS4" i="16"/>
  <c r="DU5" i="16" l="1"/>
  <c r="DT44" i="16"/>
  <c r="DT43" i="16" s="1"/>
  <c r="DT4" i="16"/>
  <c r="DU44" i="16" l="1"/>
  <c r="DU43" i="16" s="1"/>
  <c r="DV5" i="16"/>
  <c r="DU4" i="16"/>
  <c r="DV44" i="16" l="1"/>
  <c r="DV43" i="16" s="1"/>
  <c r="DW5" i="16"/>
  <c r="DV4" i="16"/>
  <c r="DW44" i="16" l="1"/>
  <c r="DW43" i="16" s="1"/>
  <c r="DX5" i="16"/>
  <c r="DW4" i="16"/>
  <c r="DY5" i="16" l="1"/>
  <c r="DX44" i="16"/>
  <c r="DX43" i="16" s="1"/>
  <c r="DX4" i="16"/>
  <c r="DY44" i="16" l="1"/>
  <c r="DY43" i="16" s="1"/>
  <c r="DY4" i="16"/>
  <c r="DZ5" i="16"/>
  <c r="DZ44" i="16" l="1"/>
  <c r="DZ43" i="16" s="1"/>
  <c r="DZ4" i="16"/>
  <c r="EA5" i="16"/>
  <c r="EA44" i="16" l="1"/>
  <c r="EA43" i="16" s="1"/>
  <c r="EA4" i="16"/>
  <c r="EB5" i="16"/>
  <c r="EC5" i="16" l="1"/>
  <c r="EB44" i="16"/>
  <c r="EB43" i="16" s="1"/>
  <c r="EB4" i="16"/>
  <c r="EC44" i="16" l="1"/>
  <c r="EC43" i="16" s="1"/>
  <c r="ED5" i="16"/>
  <c r="EC4" i="16"/>
  <c r="ED44" i="16" l="1"/>
  <c r="ED43" i="16" s="1"/>
  <c r="EE5" i="16"/>
  <c r="ED4" i="16"/>
  <c r="EE44" i="16" l="1"/>
  <c r="EE43" i="16" s="1"/>
  <c r="EF5" i="16"/>
  <c r="EE4" i="16"/>
  <c r="EF44" i="16" l="1"/>
  <c r="EF43" i="16" s="1"/>
  <c r="EG5" i="16"/>
  <c r="EF4" i="16"/>
  <c r="EG44" i="16" l="1"/>
  <c r="EG43" i="16" s="1"/>
  <c r="EG4" i="16"/>
  <c r="EH5" i="16"/>
  <c r="EH44" i="16" l="1"/>
  <c r="EH43" i="16" s="1"/>
  <c r="EH4" i="16"/>
  <c r="EI5" i="16"/>
  <c r="EI44" i="16" l="1"/>
  <c r="EI43" i="16" s="1"/>
  <c r="EI4" i="16"/>
  <c r="EJ5" i="16"/>
  <c r="EK5" i="16" l="1"/>
  <c r="EJ44" i="16"/>
  <c r="EJ43" i="16" s="1"/>
  <c r="EJ4" i="16"/>
  <c r="EK44" i="16" l="1"/>
  <c r="EK43" i="16" s="1"/>
  <c r="EL5" i="16"/>
  <c r="EK4" i="16"/>
  <c r="EL44" i="16" l="1"/>
  <c r="EL43" i="16" s="1"/>
  <c r="EM5" i="16"/>
  <c r="EL4" i="16"/>
  <c r="EM44" i="16" l="1"/>
  <c r="EM43" i="16" s="1"/>
  <c r="EN5" i="16"/>
  <c r="EM4" i="16"/>
  <c r="EN44" i="16" l="1"/>
  <c r="EN43" i="16" s="1"/>
  <c r="EO5" i="16"/>
  <c r="EN4" i="16"/>
  <c r="EO44" i="16" l="1"/>
  <c r="EO43" i="16" s="1"/>
  <c r="EP5" i="16"/>
  <c r="EO4" i="16"/>
  <c r="EP44" i="16" l="1"/>
  <c r="EP43" i="16" s="1"/>
  <c r="EQ5" i="16"/>
  <c r="EP4" i="16"/>
  <c r="EQ44" i="16" l="1"/>
  <c r="EQ43" i="16" s="1"/>
  <c r="EQ4" i="16"/>
  <c r="ER5" i="16"/>
  <c r="ER44" i="16" l="1"/>
  <c r="ER43" i="16" s="1"/>
  <c r="ES5" i="16"/>
  <c r="ER4" i="16"/>
  <c r="ES44" i="16" l="1"/>
  <c r="ES43" i="16" s="1"/>
  <c r="ET5" i="16"/>
  <c r="ES4" i="16"/>
  <c r="ET44" i="16" l="1"/>
  <c r="ET43" i="16" s="1"/>
  <c r="EU5" i="16"/>
  <c r="ET4" i="16"/>
  <c r="EU44" i="16" l="1"/>
  <c r="EU43" i="16" s="1"/>
  <c r="EV5" i="16"/>
  <c r="EU4" i="16"/>
  <c r="EW5" i="16" l="1"/>
  <c r="EV44" i="16"/>
  <c r="EV43" i="16" s="1"/>
  <c r="EV4" i="16"/>
  <c r="EW44" i="16" l="1"/>
  <c r="EW43" i="16" s="1"/>
  <c r="EW4" i="16"/>
  <c r="EX5" i="16"/>
  <c r="EX44" i="16" l="1"/>
  <c r="EX43" i="16" s="1"/>
  <c r="EX4" i="16"/>
  <c r="EY5" i="16"/>
  <c r="EY44" i="16" l="1"/>
  <c r="EY43" i="16" s="1"/>
  <c r="EY4" i="16"/>
  <c r="EZ5" i="16"/>
  <c r="FA5" i="16" l="1"/>
  <c r="EZ44" i="16"/>
  <c r="EZ43" i="16" s="1"/>
  <c r="EZ4" i="16"/>
  <c r="FA44" i="16" l="1"/>
  <c r="FA43" i="16" s="1"/>
  <c r="FB5" i="16"/>
  <c r="FA4" i="16"/>
  <c r="FB44" i="16" l="1"/>
  <c r="FB43" i="16" s="1"/>
  <c r="FC5" i="16"/>
  <c r="FB4" i="16"/>
  <c r="FC44" i="16" l="1"/>
  <c r="FC43" i="16" s="1"/>
  <c r="FD5" i="16"/>
  <c r="FC4" i="16"/>
  <c r="FE5" i="16" l="1"/>
  <c r="FD44" i="16"/>
  <c r="FD43" i="16" s="1"/>
  <c r="FD4" i="16"/>
  <c r="FE44" i="16" l="1"/>
  <c r="FE43" i="16" s="1"/>
  <c r="FF5" i="16"/>
  <c r="FE4" i="16"/>
  <c r="FF44" i="16" l="1"/>
  <c r="FF43" i="16" s="1"/>
  <c r="FG5" i="16"/>
  <c r="FF4" i="16"/>
  <c r="FG44" i="16" l="1"/>
  <c r="FG43" i="16" s="1"/>
  <c r="FH5" i="16"/>
  <c r="FG4" i="16"/>
  <c r="FI5" i="16" l="1"/>
  <c r="FH44" i="16"/>
  <c r="FH43" i="16" s="1"/>
  <c r="FH4" i="16"/>
  <c r="FI44" i="16" l="1"/>
  <c r="FI43" i="16" s="1"/>
  <c r="FJ5" i="16"/>
  <c r="FI4" i="16"/>
  <c r="FJ44" i="16" l="1"/>
  <c r="FJ43" i="16" s="1"/>
  <c r="FK5" i="16"/>
  <c r="FJ4" i="16"/>
  <c r="FK44" i="16" l="1"/>
  <c r="FK43" i="16" s="1"/>
  <c r="FL5" i="16"/>
  <c r="FK4" i="16"/>
  <c r="FL44" i="16" l="1"/>
  <c r="FL43" i="16" s="1"/>
  <c r="FM5" i="16"/>
  <c r="FL4" i="16"/>
  <c r="FM44" i="16" l="1"/>
  <c r="FM43" i="16" s="1"/>
  <c r="FN5" i="16"/>
  <c r="FM4" i="16"/>
  <c r="FN44" i="16" l="1"/>
  <c r="FN43" i="16" s="1"/>
  <c r="FO5" i="16"/>
  <c r="FN4" i="16"/>
  <c r="FO44" i="16" l="1"/>
  <c r="FO43" i="16" s="1"/>
  <c r="FO4" i="16"/>
  <c r="FP5" i="16"/>
  <c r="FQ5" i="16" l="1"/>
  <c r="FP44" i="16"/>
  <c r="FP43" i="16" s="1"/>
  <c r="FP4" i="16"/>
  <c r="FQ44" i="16" l="1"/>
  <c r="FQ43" i="16" s="1"/>
  <c r="FR5" i="16"/>
  <c r="FQ4" i="16"/>
  <c r="FR44" i="16" l="1"/>
  <c r="FR43" i="16" s="1"/>
  <c r="FS5" i="16"/>
  <c r="FR4" i="16"/>
  <c r="FS44" i="16" l="1"/>
  <c r="FS43" i="16" s="1"/>
  <c r="FT5" i="16"/>
  <c r="FS4" i="16"/>
  <c r="FT44" i="16" l="1"/>
  <c r="FT43" i="16" s="1"/>
  <c r="FU5" i="16"/>
  <c r="FT4" i="16"/>
  <c r="FU44" i="16" l="1"/>
  <c r="FU43" i="16" s="1"/>
  <c r="FU4" i="16"/>
  <c r="T46" i="1" l="1"/>
  <c r="T45" i="1"/>
  <c r="T38" i="1"/>
  <c r="W38" i="1" s="1"/>
  <c r="T39" i="1"/>
  <c r="W39" i="1" s="1"/>
  <c r="T40" i="1"/>
  <c r="W40" i="1" s="1"/>
  <c r="T41" i="1"/>
  <c r="W41" i="1" s="1"/>
  <c r="W42" i="1"/>
  <c r="T43" i="1"/>
  <c r="W43" i="1" s="1"/>
  <c r="T44" i="1"/>
  <c r="W44" i="1" s="1"/>
  <c r="T26" i="1"/>
  <c r="W26" i="1" s="1"/>
  <c r="T27" i="1"/>
  <c r="W27" i="1" s="1"/>
  <c r="T28" i="1"/>
  <c r="W28" i="1" s="1"/>
  <c r="T29" i="1"/>
  <c r="W29" i="1" s="1"/>
  <c r="T30" i="1"/>
  <c r="W30" i="1" s="1"/>
  <c r="T31" i="1"/>
  <c r="W31" i="1" s="1"/>
  <c r="T32" i="1"/>
  <c r="W32" i="1" s="1"/>
  <c r="T33" i="1"/>
  <c r="W33" i="1" s="1"/>
  <c r="T34" i="1"/>
  <c r="W34" i="1" s="1"/>
  <c r="T35" i="1"/>
  <c r="W35" i="1" s="1"/>
  <c r="T36" i="1"/>
  <c r="W36" i="1" s="1"/>
  <c r="T37" i="1"/>
  <c r="W37" i="1" s="1"/>
  <c r="T10" i="1"/>
  <c r="W10" i="1" s="1"/>
  <c r="T11" i="1"/>
  <c r="W11" i="1" s="1"/>
  <c r="T12" i="1"/>
  <c r="W12" i="1" s="1"/>
  <c r="T13" i="1"/>
  <c r="W13" i="1" s="1"/>
  <c r="T14" i="1"/>
  <c r="W14" i="1" s="1"/>
  <c r="T15" i="1"/>
  <c r="W15" i="1" s="1"/>
  <c r="T16" i="1"/>
  <c r="W16" i="1" s="1"/>
  <c r="T17" i="1"/>
  <c r="W17" i="1" s="1"/>
  <c r="T18" i="1"/>
  <c r="W18" i="1" s="1"/>
  <c r="T19" i="1"/>
  <c r="W19" i="1" s="1"/>
  <c r="T20" i="1"/>
  <c r="W20" i="1" s="1"/>
  <c r="T21" i="1"/>
  <c r="W21" i="1" s="1"/>
  <c r="T22" i="1"/>
  <c r="T23" i="1"/>
  <c r="W23" i="1" s="1"/>
  <c r="T24" i="1"/>
  <c r="W24" i="1" s="1"/>
  <c r="T25" i="1"/>
  <c r="W25" i="1" s="1"/>
  <c r="T9" i="1"/>
  <c r="AF17" i="14"/>
  <c r="AA3" i="15"/>
  <c r="W22" i="1" l="1"/>
  <c r="AL36" i="14" l="1"/>
  <c r="AL35" i="14"/>
  <c r="AL34" i="14"/>
  <c r="AL33" i="14"/>
  <c r="AL32" i="14"/>
  <c r="AL31" i="14"/>
  <c r="AL30" i="14"/>
  <c r="AL29" i="14"/>
  <c r="AL28" i="14"/>
  <c r="AL27" i="14"/>
  <c r="AL26" i="14"/>
  <c r="AL25" i="14"/>
  <c r="AL24" i="14"/>
  <c r="AL23" i="14"/>
  <c r="AL22" i="14"/>
  <c r="AL21" i="14"/>
  <c r="AL20" i="14"/>
  <c r="AL19" i="14"/>
  <c r="AL18" i="14"/>
  <c r="T72" i="11"/>
  <c r="R72" i="11"/>
  <c r="O72" i="11"/>
  <c r="L72" i="11"/>
  <c r="T71" i="11"/>
  <c r="R71" i="11"/>
  <c r="O71" i="11"/>
  <c r="L71" i="11"/>
  <c r="T70" i="11"/>
  <c r="R70" i="11"/>
  <c r="O70" i="11"/>
  <c r="L70" i="11"/>
  <c r="T69" i="11"/>
  <c r="R69" i="11"/>
  <c r="O69" i="11"/>
  <c r="L69" i="11"/>
  <c r="T68" i="11"/>
  <c r="R68" i="11"/>
  <c r="O68" i="11"/>
  <c r="L68" i="11"/>
  <c r="T67" i="11"/>
  <c r="R67" i="11"/>
  <c r="O67" i="11"/>
  <c r="L67" i="11"/>
  <c r="T66" i="11"/>
  <c r="R66" i="11"/>
  <c r="O66" i="11"/>
  <c r="L66" i="11"/>
  <c r="T65" i="11"/>
  <c r="R65" i="11"/>
  <c r="O65" i="11"/>
  <c r="L65" i="11"/>
  <c r="T64" i="11"/>
  <c r="R64" i="11"/>
  <c r="O64" i="11"/>
  <c r="L64" i="11"/>
  <c r="T63" i="11"/>
  <c r="R63" i="11"/>
  <c r="O63" i="11"/>
  <c r="L63" i="11"/>
  <c r="T62" i="11"/>
  <c r="R62" i="11"/>
  <c r="O62" i="11"/>
  <c r="L62" i="11"/>
  <c r="T61" i="11"/>
  <c r="R61" i="11"/>
  <c r="O61" i="11"/>
  <c r="L61" i="11"/>
  <c r="T60" i="11"/>
  <c r="R60" i="11"/>
  <c r="O60" i="11"/>
  <c r="L60" i="11"/>
  <c r="T59" i="11"/>
  <c r="R59" i="11"/>
  <c r="O59" i="11"/>
  <c r="L59" i="11"/>
  <c r="T58" i="11"/>
  <c r="R58" i="11"/>
  <c r="O58" i="11"/>
  <c r="L58" i="11"/>
  <c r="T57" i="11"/>
  <c r="R57" i="11"/>
  <c r="O57" i="11"/>
  <c r="L57" i="11"/>
  <c r="T56" i="11"/>
  <c r="R56" i="11"/>
  <c r="O56" i="11"/>
  <c r="L56" i="11"/>
  <c r="T55" i="11"/>
  <c r="R55" i="11"/>
  <c r="O55" i="11"/>
  <c r="L55" i="11"/>
  <c r="T54" i="11"/>
  <c r="R54" i="11"/>
  <c r="O54" i="11"/>
  <c r="L54" i="11"/>
  <c r="T53" i="11"/>
  <c r="R53" i="11"/>
  <c r="O53" i="11"/>
  <c r="L53" i="11"/>
  <c r="T52" i="11"/>
  <c r="R52" i="11"/>
  <c r="O52" i="11"/>
  <c r="L52" i="11"/>
  <c r="T51" i="11"/>
  <c r="R51" i="11"/>
  <c r="O51" i="11"/>
  <c r="L51" i="11"/>
  <c r="T50" i="11"/>
  <c r="R50" i="11"/>
  <c r="O50" i="11"/>
  <c r="L50" i="11"/>
  <c r="T49" i="11"/>
  <c r="R49" i="11"/>
  <c r="O49" i="11"/>
  <c r="L49" i="11"/>
  <c r="T48" i="11"/>
  <c r="R48" i="11"/>
  <c r="O48" i="11"/>
  <c r="L48" i="11"/>
  <c r="T47" i="11"/>
  <c r="R47" i="11"/>
  <c r="O47" i="11"/>
  <c r="L47" i="11"/>
  <c r="T46" i="11"/>
  <c r="R46" i="11"/>
  <c r="O46" i="11"/>
  <c r="L46" i="11"/>
  <c r="T45" i="11"/>
  <c r="R45" i="11"/>
  <c r="O45" i="11"/>
  <c r="L45" i="11"/>
  <c r="T44" i="11"/>
  <c r="R44" i="11"/>
  <c r="O44" i="11"/>
  <c r="L44" i="11"/>
  <c r="T43" i="11"/>
  <c r="R43" i="11"/>
  <c r="O43" i="11"/>
  <c r="L43" i="11"/>
  <c r="T42" i="11"/>
  <c r="R42" i="11"/>
  <c r="O42" i="11"/>
  <c r="L42" i="11"/>
  <c r="T41" i="11"/>
  <c r="R41" i="11"/>
  <c r="O41" i="11"/>
  <c r="L41" i="11"/>
  <c r="T40" i="11"/>
  <c r="R40" i="11"/>
  <c r="O40" i="11"/>
  <c r="L40" i="11"/>
  <c r="T39" i="11"/>
  <c r="R39" i="11"/>
  <c r="O39" i="11"/>
  <c r="L39" i="11"/>
  <c r="T38" i="11"/>
  <c r="R38" i="11"/>
  <c r="O38" i="11"/>
  <c r="L38" i="11"/>
  <c r="T37" i="11"/>
  <c r="R37" i="11"/>
  <c r="O37" i="11"/>
  <c r="L37" i="11"/>
  <c r="T36" i="11"/>
  <c r="R36" i="11"/>
  <c r="O36" i="11"/>
  <c r="L36" i="11"/>
  <c r="T35" i="11"/>
  <c r="R35" i="11"/>
  <c r="O35" i="11"/>
  <c r="L35" i="11"/>
  <c r="T34" i="11"/>
  <c r="R34" i="11"/>
  <c r="O34" i="11"/>
  <c r="L34" i="11"/>
  <c r="T33" i="11"/>
  <c r="R33" i="11"/>
  <c r="O33" i="11"/>
  <c r="L33" i="11"/>
  <c r="T32" i="11"/>
  <c r="R32" i="11"/>
  <c r="O32" i="11"/>
  <c r="L32" i="11"/>
  <c r="T31" i="11"/>
  <c r="R31" i="11"/>
  <c r="O31" i="11"/>
  <c r="L31" i="11"/>
  <c r="T30" i="11"/>
  <c r="R30" i="11"/>
  <c r="O30" i="11"/>
  <c r="L30" i="11"/>
  <c r="T29" i="11"/>
  <c r="R29" i="11"/>
  <c r="O29" i="11"/>
  <c r="L29" i="11"/>
  <c r="T28" i="11"/>
  <c r="R28" i="11"/>
  <c r="O28" i="11"/>
  <c r="L28" i="11"/>
  <c r="T27" i="11"/>
  <c r="R27" i="11"/>
  <c r="O27" i="11"/>
  <c r="L27" i="11"/>
  <c r="T26" i="11"/>
  <c r="R26" i="11"/>
  <c r="O26" i="11"/>
  <c r="L26" i="11"/>
  <c r="T25" i="11"/>
  <c r="R25" i="11"/>
  <c r="O25" i="11"/>
  <c r="L25" i="11"/>
  <c r="T24" i="11"/>
  <c r="R24" i="11"/>
  <c r="O24" i="11"/>
  <c r="L24" i="11"/>
  <c r="T23" i="11"/>
  <c r="R23" i="11"/>
  <c r="O23" i="11"/>
  <c r="L23" i="11"/>
  <c r="T22" i="11"/>
  <c r="R22" i="11"/>
  <c r="O22" i="11"/>
  <c r="L22" i="11"/>
  <c r="T21" i="11"/>
  <c r="R21" i="11"/>
  <c r="O21" i="11"/>
  <c r="L21" i="11"/>
  <c r="T20" i="11"/>
  <c r="R20" i="11"/>
  <c r="O20" i="11"/>
  <c r="L20" i="11"/>
  <c r="T19" i="11"/>
  <c r="R19" i="11"/>
  <c r="O19" i="11"/>
  <c r="L19" i="11"/>
  <c r="T18" i="11"/>
  <c r="R18" i="11"/>
  <c r="O18" i="11"/>
  <c r="F18" i="11"/>
  <c r="L18" i="11" s="1"/>
  <c r="T17" i="11"/>
  <c r="R17" i="11"/>
  <c r="O17" i="11"/>
  <c r="F17" i="11"/>
  <c r="L17" i="11" s="1"/>
  <c r="T16" i="11"/>
  <c r="R16" i="11"/>
  <c r="O16" i="11"/>
  <c r="F16" i="11"/>
  <c r="L16" i="11" s="1"/>
  <c r="T15" i="11"/>
  <c r="R15" i="11"/>
  <c r="O15" i="11"/>
  <c r="F15" i="11"/>
  <c r="L15" i="11" s="1"/>
  <c r="T14" i="11"/>
  <c r="R14" i="11"/>
  <c r="O14" i="11"/>
  <c r="L14" i="11"/>
  <c r="T13" i="11"/>
  <c r="R13" i="11"/>
  <c r="O13" i="11"/>
  <c r="L13" i="11"/>
  <c r="T12" i="11"/>
  <c r="R12" i="11"/>
  <c r="O12" i="11"/>
  <c r="L12" i="11"/>
  <c r="T11" i="11"/>
  <c r="R11" i="11"/>
  <c r="O11" i="11"/>
  <c r="L11" i="11"/>
  <c r="T10" i="11"/>
  <c r="R10" i="11"/>
  <c r="O10" i="11"/>
  <c r="L10" i="11"/>
  <c r="L45" i="1"/>
  <c r="L46" i="1"/>
  <c r="I14" i="8"/>
  <c r="I13" i="8"/>
  <c r="V65" i="11" l="1"/>
  <c r="V71" i="11"/>
  <c r="V56" i="11"/>
  <c r="V64" i="11"/>
  <c r="P40" i="11"/>
  <c r="Q40" i="11" s="1"/>
  <c r="P46" i="11"/>
  <c r="Q46" i="11" s="1"/>
  <c r="P48" i="11"/>
  <c r="Q48" i="11" s="1"/>
  <c r="P50" i="11"/>
  <c r="Q50" i="11" s="1"/>
  <c r="P70" i="11"/>
  <c r="Q70" i="11" s="1"/>
  <c r="P72" i="11"/>
  <c r="Q72" i="11" s="1"/>
  <c r="V36" i="11"/>
  <c r="V44" i="11"/>
  <c r="V66" i="11"/>
  <c r="V48" i="11"/>
  <c r="V58" i="11"/>
  <c r="V70" i="11"/>
  <c r="V15" i="11"/>
  <c r="V31" i="11"/>
  <c r="V33" i="11"/>
  <c r="V37" i="11"/>
  <c r="V39" i="11"/>
  <c r="V41" i="11"/>
  <c r="V43" i="11"/>
  <c r="V47" i="11"/>
  <c r="V53" i="11"/>
  <c r="V69" i="11"/>
  <c r="P38" i="11"/>
  <c r="Q38" i="11" s="1"/>
  <c r="P36" i="11"/>
  <c r="Q36" i="11" s="1"/>
  <c r="P57" i="11"/>
  <c r="Q57" i="11" s="1"/>
  <c r="P55" i="11"/>
  <c r="Q55" i="11" s="1"/>
  <c r="P35" i="11"/>
  <c r="Q35" i="11" s="1"/>
  <c r="P37" i="11"/>
  <c r="Q37" i="11" s="1"/>
  <c r="P39" i="11"/>
  <c r="Q39" i="11" s="1"/>
  <c r="P43" i="11"/>
  <c r="Q43" i="11" s="1"/>
  <c r="P45" i="11"/>
  <c r="Q45" i="11" s="1"/>
  <c r="P47" i="11"/>
  <c r="Q47" i="11" s="1"/>
  <c r="P17" i="11"/>
  <c r="Q17" i="11" s="1"/>
  <c r="P15" i="11"/>
  <c r="Q15" i="11" s="1"/>
  <c r="V61" i="11"/>
  <c r="P62" i="11"/>
  <c r="Q62" i="11" s="1"/>
  <c r="V59" i="11"/>
  <c r="V62" i="11"/>
  <c r="V60" i="11"/>
  <c r="V63" i="11"/>
  <c r="P64" i="11"/>
  <c r="Q64" i="11" s="1"/>
  <c r="V52" i="11"/>
  <c r="V72" i="11"/>
  <c r="V17" i="11"/>
  <c r="P71" i="11"/>
  <c r="Q71" i="11" s="1"/>
  <c r="P69" i="11"/>
  <c r="Q69" i="11" s="1"/>
  <c r="V34" i="11"/>
  <c r="V40" i="11"/>
  <c r="P67" i="11"/>
  <c r="Q67" i="11" s="1"/>
  <c r="V32" i="11"/>
  <c r="P65" i="11"/>
  <c r="Q65" i="11" s="1"/>
  <c r="V67" i="11"/>
  <c r="V50" i="11"/>
  <c r="P34" i="11"/>
  <c r="Q34" i="11" s="1"/>
  <c r="V42" i="11"/>
  <c r="V45" i="11"/>
  <c r="V51" i="11"/>
  <c r="V54" i="11"/>
  <c r="P63" i="11"/>
  <c r="Q63" i="11" s="1"/>
  <c r="P16" i="11"/>
  <c r="Q16" i="11" s="1"/>
  <c r="P33" i="11"/>
  <c r="Q33" i="11" s="1"/>
  <c r="V38" i="11"/>
  <c r="P44" i="11"/>
  <c r="Q44" i="11" s="1"/>
  <c r="V49" i="11"/>
  <c r="P53" i="11"/>
  <c r="Q53" i="11" s="1"/>
  <c r="P60" i="11"/>
  <c r="Q60" i="11" s="1"/>
  <c r="P68" i="11"/>
  <c r="Q68" i="11" s="1"/>
  <c r="V68" i="11"/>
  <c r="V10" i="11"/>
  <c r="V12" i="11"/>
  <c r="V14" i="11"/>
  <c r="V19" i="11"/>
  <c r="V21" i="11"/>
  <c r="V23" i="11"/>
  <c r="V25" i="11"/>
  <c r="V27" i="11"/>
  <c r="V29" i="11"/>
  <c r="P11" i="11"/>
  <c r="Q11" i="11" s="1"/>
  <c r="P13" i="11"/>
  <c r="Q13" i="11" s="1"/>
  <c r="V16" i="11"/>
  <c r="P18" i="11"/>
  <c r="Q18" i="11" s="1"/>
  <c r="P20" i="11"/>
  <c r="Q20" i="11" s="1"/>
  <c r="P22" i="11"/>
  <c r="Q22" i="11" s="1"/>
  <c r="P24" i="11"/>
  <c r="Q24" i="11" s="1"/>
  <c r="P26" i="11"/>
  <c r="Q26" i="11" s="1"/>
  <c r="P28" i="11"/>
  <c r="Q28" i="11" s="1"/>
  <c r="P30" i="11"/>
  <c r="Q30" i="11" s="1"/>
  <c r="P32" i="11"/>
  <c r="Q32" i="11" s="1"/>
  <c r="V35" i="11"/>
  <c r="P41" i="11"/>
  <c r="Q41" i="11" s="1"/>
  <c r="W41" i="11" s="1"/>
  <c r="V46" i="11"/>
  <c r="P52" i="11"/>
  <c r="Q52" i="11" s="1"/>
  <c r="V55" i="11"/>
  <c r="V57" i="11"/>
  <c r="P59" i="11"/>
  <c r="Q59" i="11" s="1"/>
  <c r="P54" i="11"/>
  <c r="Q54" i="11" s="1"/>
  <c r="V11" i="11"/>
  <c r="V13" i="11"/>
  <c r="V18" i="11"/>
  <c r="V20" i="11"/>
  <c r="V22" i="11"/>
  <c r="V24" i="11"/>
  <c r="V26" i="11"/>
  <c r="V28" i="11"/>
  <c r="V30" i="11"/>
  <c r="P49" i="11"/>
  <c r="Q49" i="11" s="1"/>
  <c r="P56" i="11"/>
  <c r="Q56" i="11" s="1"/>
  <c r="P58" i="11"/>
  <c r="Q58" i="11" s="1"/>
  <c r="P66" i="11"/>
  <c r="Q66" i="11" s="1"/>
  <c r="P61" i="11"/>
  <c r="Q61" i="11" s="1"/>
  <c r="P10" i="11"/>
  <c r="Q10" i="11" s="1"/>
  <c r="P12" i="11"/>
  <c r="Q12" i="11" s="1"/>
  <c r="P14" i="11"/>
  <c r="Q14" i="11" s="1"/>
  <c r="P19" i="11"/>
  <c r="Q19" i="11" s="1"/>
  <c r="P21" i="11"/>
  <c r="Q21" i="11" s="1"/>
  <c r="P23" i="11"/>
  <c r="Q23" i="11" s="1"/>
  <c r="P25" i="11"/>
  <c r="Q25" i="11" s="1"/>
  <c r="P27" i="11"/>
  <c r="Q27" i="11" s="1"/>
  <c r="P29" i="11"/>
  <c r="Q29" i="11" s="1"/>
  <c r="P31" i="11"/>
  <c r="Q31" i="11" s="1"/>
  <c r="P42" i="11"/>
  <c r="Q42" i="11" s="1"/>
  <c r="P51" i="11"/>
  <c r="Q51" i="11" s="1"/>
  <c r="L73" i="11"/>
  <c r="F73" i="11"/>
  <c r="W51" i="11" l="1"/>
  <c r="W21" i="11"/>
  <c r="W58" i="11"/>
  <c r="W56" i="11"/>
  <c r="W64" i="11"/>
  <c r="W46" i="11"/>
  <c r="W65" i="11"/>
  <c r="W36" i="11"/>
  <c r="W48" i="11"/>
  <c r="W66" i="11"/>
  <c r="W71" i="11"/>
  <c r="W43" i="11"/>
  <c r="W50" i="11"/>
  <c r="W69" i="11"/>
  <c r="W61" i="11"/>
  <c r="W59" i="11"/>
  <c r="W40" i="11"/>
  <c r="W63" i="11"/>
  <c r="W47" i="11"/>
  <c r="W38" i="11"/>
  <c r="W44" i="11"/>
  <c r="W33" i="11"/>
  <c r="W70" i="11"/>
  <c r="W72" i="11"/>
  <c r="W31" i="11"/>
  <c r="W54" i="11"/>
  <c r="W57" i="11"/>
  <c r="W34" i="11"/>
  <c r="W26" i="11"/>
  <c r="W24" i="11"/>
  <c r="W22" i="11"/>
  <c r="W39" i="11"/>
  <c r="W20" i="11"/>
  <c r="W62" i="11"/>
  <c r="W37" i="11"/>
  <c r="W68" i="11"/>
  <c r="W18" i="11"/>
  <c r="W60" i="11"/>
  <c r="W53" i="11"/>
  <c r="W67" i="11"/>
  <c r="W15" i="11"/>
  <c r="W55" i="11"/>
  <c r="W35" i="11"/>
  <c r="W17" i="11"/>
  <c r="W45" i="11"/>
  <c r="W16" i="11"/>
  <c r="W30" i="11"/>
  <c r="W29" i="11"/>
  <c r="W27" i="11"/>
  <c r="W42" i="11"/>
  <c r="W52" i="11"/>
  <c r="W25" i="11"/>
  <c r="W32" i="11"/>
  <c r="W23" i="11"/>
  <c r="W49" i="11"/>
  <c r="W13" i="11"/>
  <c r="W19" i="11"/>
  <c r="W14" i="11"/>
  <c r="W12" i="11"/>
  <c r="P73" i="11"/>
  <c r="W28" i="11"/>
  <c r="W11" i="11"/>
  <c r="Q73" i="11"/>
  <c r="W10" i="11"/>
  <c r="W74" i="11" l="1"/>
  <c r="W75" i="11" s="1"/>
  <c r="W9" i="1" l="1"/>
  <c r="W47" i="1" s="1"/>
  <c r="W46" i="1"/>
  <c r="O46" i="1"/>
  <c r="W45" i="1"/>
  <c r="O45" i="1"/>
  <c r="O44" i="1"/>
  <c r="L44" i="1"/>
  <c r="L41" i="1"/>
  <c r="O41"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2" i="1"/>
  <c r="O43" i="1"/>
  <c r="Q46" i="1" l="1"/>
  <c r="R46" i="1" s="1"/>
  <c r="X46" i="1" s="1"/>
  <c r="P44" i="1"/>
  <c r="P41" i="1"/>
  <c r="L26" i="1"/>
  <c r="L27" i="1"/>
  <c r="L28" i="1"/>
  <c r="L29" i="1"/>
  <c r="L30" i="1"/>
  <c r="L31" i="1"/>
  <c r="L32" i="1"/>
  <c r="L33" i="1"/>
  <c r="L34" i="1"/>
  <c r="L35" i="1"/>
  <c r="C8" i="8" s="1"/>
  <c r="L36" i="1"/>
  <c r="L37" i="1"/>
  <c r="C6" i="8" s="1"/>
  <c r="L38" i="1"/>
  <c r="L39" i="1"/>
  <c r="L40" i="1"/>
  <c r="L24" i="1"/>
  <c r="F17" i="1"/>
  <c r="L17" i="1" s="1"/>
  <c r="F16" i="1"/>
  <c r="L16" i="1" s="1"/>
  <c r="F15" i="1"/>
  <c r="L15" i="1" s="1"/>
  <c r="F14" i="1"/>
  <c r="C7" i="3"/>
  <c r="G7" i="3"/>
  <c r="K7" i="3"/>
  <c r="O7" i="3"/>
  <c r="C8" i="3"/>
  <c r="G8" i="3"/>
  <c r="K8" i="3"/>
  <c r="O8" i="3"/>
  <c r="C9" i="3"/>
  <c r="G9" i="3"/>
  <c r="K9" i="3"/>
  <c r="O9" i="3"/>
  <c r="C21" i="3"/>
  <c r="J21" i="3" s="1"/>
  <c r="C22" i="3"/>
  <c r="J22" i="3" s="1"/>
  <c r="C23" i="3"/>
  <c r="J23" i="3" s="1"/>
  <c r="C24" i="3"/>
  <c r="J24" i="3" s="1"/>
  <c r="C25" i="3"/>
  <c r="J25" i="3" s="1"/>
  <c r="C26" i="3"/>
  <c r="J26" i="3" s="1"/>
  <c r="C27" i="3"/>
  <c r="J27" i="3" s="1"/>
  <c r="C28" i="3"/>
  <c r="J28" i="3" s="1"/>
  <c r="C29" i="3"/>
  <c r="J29" i="3" s="1"/>
  <c r="C30" i="3"/>
  <c r="J30" i="3" s="1"/>
  <c r="C31" i="3"/>
  <c r="J31" i="3" s="1"/>
  <c r="C32" i="3"/>
  <c r="J32" i="3" s="1"/>
  <c r="C33" i="3"/>
  <c r="J33" i="3" s="1"/>
  <c r="C34" i="3"/>
  <c r="J34" i="3" s="1"/>
  <c r="C35" i="3"/>
  <c r="J35" i="3" s="1"/>
  <c r="C36" i="3"/>
  <c r="J36" i="3" s="1"/>
  <c r="G4" i="2"/>
  <c r="I4" i="2" s="1"/>
  <c r="G5" i="2"/>
  <c r="I5" i="2" s="1"/>
  <c r="G6" i="2"/>
  <c r="I6" i="2" s="1"/>
  <c r="G7" i="2"/>
  <c r="I7" i="2" s="1"/>
  <c r="L7" i="2" s="1"/>
  <c r="G8" i="2"/>
  <c r="I8" i="2" s="1"/>
  <c r="G9" i="2"/>
  <c r="I9" i="2" s="1"/>
  <c r="G10" i="2"/>
  <c r="I10" i="2" s="1"/>
  <c r="G11" i="2"/>
  <c r="I11" i="2" s="1"/>
  <c r="G12" i="2"/>
  <c r="I12" i="2" s="1"/>
  <c r="G13" i="2"/>
  <c r="I13" i="2" s="1"/>
  <c r="M13" i="2" s="1"/>
  <c r="G14" i="2"/>
  <c r="I14" i="2" s="1"/>
  <c r="G15" i="2"/>
  <c r="I15" i="2" s="1"/>
  <c r="L15" i="2" s="1"/>
  <c r="L43" i="1"/>
  <c r="L42" i="1"/>
  <c r="C13" i="8" s="1"/>
  <c r="L25" i="1"/>
  <c r="L23" i="1"/>
  <c r="L22" i="1"/>
  <c r="L21" i="1"/>
  <c r="L20" i="1"/>
  <c r="L19" i="1"/>
  <c r="L18" i="1"/>
  <c r="L13" i="1"/>
  <c r="L12" i="1"/>
  <c r="L11" i="1"/>
  <c r="L10" i="1"/>
  <c r="L9" i="1"/>
  <c r="B10" i="3" l="1"/>
  <c r="B13" i="3" s="1"/>
  <c r="F10" i="3"/>
  <c r="F13" i="3" s="1"/>
  <c r="J10" i="3"/>
  <c r="J13" i="3" s="1"/>
  <c r="J16" i="3" s="1"/>
  <c r="M5" i="2"/>
  <c r="L5" i="2"/>
  <c r="V46" i="1"/>
  <c r="L13" i="2"/>
  <c r="N10" i="3"/>
  <c r="N13" i="3" s="1"/>
  <c r="J37" i="3" s="1"/>
  <c r="L14" i="1"/>
  <c r="C14" i="8"/>
  <c r="P31" i="1"/>
  <c r="C7" i="8"/>
  <c r="Q45" i="1"/>
  <c r="Q41" i="1"/>
  <c r="R41" i="1" s="1"/>
  <c r="Q44" i="1"/>
  <c r="R44" i="1" s="1"/>
  <c r="V44" i="1" s="1"/>
  <c r="P33" i="1"/>
  <c r="P32" i="1"/>
  <c r="P40" i="1"/>
  <c r="P39" i="1"/>
  <c r="D8" i="8" s="1"/>
  <c r="P38" i="1"/>
  <c r="D7" i="8" s="1"/>
  <c r="P37" i="1"/>
  <c r="D6" i="8" s="1"/>
  <c r="G6" i="8" s="1"/>
  <c r="P36" i="1"/>
  <c r="P35" i="1"/>
  <c r="P34" i="1"/>
  <c r="P30" i="1"/>
  <c r="P29" i="1"/>
  <c r="P27" i="1"/>
  <c r="P28" i="1"/>
  <c r="P26" i="1"/>
  <c r="P42" i="1"/>
  <c r="Q42" i="1" s="1"/>
  <c r="R42" i="1" s="1"/>
  <c r="P18" i="1"/>
  <c r="L9" i="2"/>
  <c r="M9" i="2"/>
  <c r="M11" i="2"/>
  <c r="L11" i="2"/>
  <c r="M15" i="2"/>
  <c r="M7" i="2"/>
  <c r="G16" i="2"/>
  <c r="P22" i="1"/>
  <c r="P20" i="1"/>
  <c r="P12" i="1"/>
  <c r="P43" i="1"/>
  <c r="P15" i="1"/>
  <c r="P23" i="1"/>
  <c r="P17" i="1"/>
  <c r="M14" i="2"/>
  <c r="L14" i="2"/>
  <c r="I16" i="2"/>
  <c r="L4" i="2"/>
  <c r="M4" i="2"/>
  <c r="M12" i="2"/>
  <c r="L12" i="2"/>
  <c r="L10" i="2"/>
  <c r="M10" i="2"/>
  <c r="M6" i="2"/>
  <c r="L6" i="2"/>
  <c r="M8" i="2"/>
  <c r="L8" i="2"/>
  <c r="P21" i="1"/>
  <c r="P16" i="1"/>
  <c r="P24" i="1"/>
  <c r="P19" i="1"/>
  <c r="P11" i="1"/>
  <c r="P10" i="1"/>
  <c r="P25" i="1"/>
  <c r="P9" i="1"/>
  <c r="P13" i="1"/>
  <c r="J15" i="3" l="1"/>
  <c r="I39" i="3" s="1"/>
  <c r="I43" i="3" s="1"/>
  <c r="Q9" i="1"/>
  <c r="R9" i="1" s="1"/>
  <c r="X9" i="1" s="1"/>
  <c r="D14" i="8"/>
  <c r="H14" i="8" s="1"/>
  <c r="R45" i="1"/>
  <c r="X45" i="1" s="1"/>
  <c r="V45" i="1"/>
  <c r="X42" i="1"/>
  <c r="V42" i="1"/>
  <c r="X41" i="1"/>
  <c r="V41" i="1"/>
  <c r="X44" i="1"/>
  <c r="H6" i="8"/>
  <c r="H8" i="8"/>
  <c r="G8" i="8"/>
  <c r="G7" i="8"/>
  <c r="H7" i="8"/>
  <c r="D13" i="8"/>
  <c r="P14" i="1"/>
  <c r="Q14" i="1" s="1"/>
  <c r="R14" i="1" s="1"/>
  <c r="Q31" i="1"/>
  <c r="R31" i="1" s="1"/>
  <c r="Q21" i="1"/>
  <c r="R21" i="1" s="1"/>
  <c r="Q26" i="1"/>
  <c r="R26" i="1" s="1"/>
  <c r="Q20" i="1"/>
  <c r="R20" i="1" s="1"/>
  <c r="Q28" i="1"/>
  <c r="R28" i="1" s="1"/>
  <c r="Q34" i="1"/>
  <c r="R34" i="1" s="1"/>
  <c r="Q38" i="1"/>
  <c r="R38" i="1" s="1"/>
  <c r="Q33" i="1"/>
  <c r="R33" i="1" s="1"/>
  <c r="Q15" i="1"/>
  <c r="R15" i="1" s="1"/>
  <c r="Q30" i="1"/>
  <c r="R30" i="1" s="1"/>
  <c r="Q37" i="1"/>
  <c r="R37" i="1" s="1"/>
  <c r="Q25" i="1"/>
  <c r="R25" i="1" s="1"/>
  <c r="Q19" i="1"/>
  <c r="R19" i="1" s="1"/>
  <c r="Q13" i="1"/>
  <c r="R13" i="1" s="1"/>
  <c r="Q10" i="1"/>
  <c r="R10" i="1" s="1"/>
  <c r="Q24" i="1"/>
  <c r="R24" i="1" s="1"/>
  <c r="Q17" i="1"/>
  <c r="R17" i="1" s="1"/>
  <c r="Q43" i="1"/>
  <c r="R43" i="1" s="1"/>
  <c r="V43" i="1" s="1"/>
  <c r="Q22" i="1"/>
  <c r="R22" i="1" s="1"/>
  <c r="Q18" i="1"/>
  <c r="R18" i="1" s="1"/>
  <c r="Q27" i="1"/>
  <c r="R27" i="1" s="1"/>
  <c r="Q35" i="1"/>
  <c r="R35" i="1" s="1"/>
  <c r="Q39" i="1"/>
  <c r="R39" i="1" s="1"/>
  <c r="Q12" i="1"/>
  <c r="R12" i="1" s="1"/>
  <c r="Q32" i="1"/>
  <c r="R32" i="1" s="1"/>
  <c r="Q11" i="1"/>
  <c r="R11" i="1" s="1"/>
  <c r="Q16" i="1"/>
  <c r="R16" i="1" s="1"/>
  <c r="Q23" i="1"/>
  <c r="R23" i="1" s="1"/>
  <c r="Q29" i="1"/>
  <c r="R29" i="1" s="1"/>
  <c r="Q36" i="1"/>
  <c r="R36" i="1" s="1"/>
  <c r="Q40" i="1"/>
  <c r="R40" i="1" s="1"/>
  <c r="M16" i="2"/>
  <c r="L16" i="2"/>
  <c r="I7" i="8" l="1"/>
  <c r="V9" i="1"/>
  <c r="I41" i="3"/>
  <c r="I42" i="3" s="1"/>
  <c r="P48" i="1"/>
  <c r="R50" i="1"/>
  <c r="V16" i="1"/>
  <c r="X16" i="1"/>
  <c r="X37" i="1"/>
  <c r="V37" i="1"/>
  <c r="X30" i="1"/>
  <c r="V30" i="1"/>
  <c r="V32" i="1"/>
  <c r="X32" i="1"/>
  <c r="X12" i="1"/>
  <c r="V12" i="1"/>
  <c r="X14" i="1"/>
  <c r="V14" i="1"/>
  <c r="V40" i="1"/>
  <c r="X40" i="1"/>
  <c r="V10" i="1"/>
  <c r="X10" i="1"/>
  <c r="V35" i="1"/>
  <c r="X35" i="1"/>
  <c r="X43" i="1"/>
  <c r="V39" i="1"/>
  <c r="X39" i="1"/>
  <c r="X38" i="1"/>
  <c r="V38" i="1"/>
  <c r="X22" i="1"/>
  <c r="V22" i="1"/>
  <c r="V26" i="1"/>
  <c r="X26" i="1"/>
  <c r="V11" i="1"/>
  <c r="X11" i="1"/>
  <c r="X21" i="1"/>
  <c r="V21" i="1"/>
  <c r="X17" i="1"/>
  <c r="V17" i="1"/>
  <c r="V15" i="1"/>
  <c r="X15" i="1"/>
  <c r="V31" i="1"/>
  <c r="X31" i="1"/>
  <c r="V24" i="1"/>
  <c r="X24" i="1"/>
  <c r="V33" i="1"/>
  <c r="X33" i="1"/>
  <c r="X36" i="1"/>
  <c r="V36" i="1"/>
  <c r="V13" i="1"/>
  <c r="X13" i="1"/>
  <c r="X34" i="1"/>
  <c r="V34" i="1"/>
  <c r="X29" i="1"/>
  <c r="V29" i="1"/>
  <c r="V27" i="1"/>
  <c r="X27" i="1"/>
  <c r="V19" i="1"/>
  <c r="X19" i="1"/>
  <c r="V28" i="1"/>
  <c r="X28" i="1"/>
  <c r="V23" i="1"/>
  <c r="X23" i="1"/>
  <c r="V18" i="1"/>
  <c r="X18" i="1"/>
  <c r="X25" i="1"/>
  <c r="V25" i="1"/>
  <c r="V20" i="1"/>
  <c r="X20" i="1"/>
  <c r="I6" i="8"/>
  <c r="I8" i="8"/>
  <c r="AB14" i="15"/>
  <c r="G14" i="8"/>
  <c r="H13" i="8"/>
  <c r="G13" i="8"/>
  <c r="AF14" i="15" l="1"/>
  <c r="AI14" i="15"/>
  <c r="AI13" i="15"/>
  <c r="X47" i="1"/>
  <c r="V47" i="1"/>
  <c r="AL16" i="14"/>
  <c r="AL17" i="14"/>
  <c r="AI15" i="15" l="1"/>
  <c r="AL15" i="15" s="1"/>
  <c r="AL38" i="14"/>
  <c r="F4" i="15" s="1"/>
  <c r="AE5" i="15" s="1"/>
  <c r="X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Risoterm</author>
  </authors>
  <commentList>
    <comment ref="K12" authorId="0" shapeId="0" xr:uid="{00000000-0006-0000-0400-000001000000}">
      <text>
        <r>
          <rPr>
            <sz val="9"/>
            <color indexed="81"/>
            <rFont val="Segoe UI"/>
            <family val="2"/>
          </rPr>
          <t xml:space="preserve">TÊS DE REDUÇÃO
18" X 8" - 4 
18" X 12" - 3
</t>
        </r>
      </text>
    </comment>
    <comment ref="K13" authorId="0" shapeId="0" xr:uid="{00000000-0006-0000-0400-000002000000}">
      <text>
        <r>
          <rPr>
            <b/>
            <sz val="9"/>
            <color indexed="81"/>
            <rFont val="Segoe UI"/>
            <family val="2"/>
          </rPr>
          <t>TÊ DE REDUÇÃO
18" X 12"</t>
        </r>
        <r>
          <rPr>
            <sz val="9"/>
            <color indexed="81"/>
            <rFont val="Segoe UI"/>
            <family val="2"/>
          </rPr>
          <t xml:space="preserve">
</t>
        </r>
      </text>
    </comment>
    <comment ref="F14" authorId="0" shapeId="0" xr:uid="{00000000-0006-0000-0400-000003000000}">
      <text>
        <r>
          <rPr>
            <b/>
            <sz val="9"/>
            <color indexed="81"/>
            <rFont val="Segoe UI"/>
            <family val="2"/>
          </rPr>
          <t>ML total dividido pelas 4 linhas de 8" pois não consegui precisar o comprimento de cada uma.</t>
        </r>
      </text>
    </comment>
    <comment ref="C16" authorId="0" shapeId="0" xr:uid="{00000000-0006-0000-0400-000004000000}">
      <text>
        <r>
          <rPr>
            <b/>
            <sz val="9"/>
            <color indexed="81"/>
            <rFont val="Segoe UI"/>
            <family val="2"/>
          </rPr>
          <t>Não localizei essa linha no desenho e por isso adotei a mesma elevação que as anteriores.</t>
        </r>
      </text>
    </comment>
    <comment ref="C17" authorId="0" shapeId="0" xr:uid="{00000000-0006-0000-0400-000005000000}">
      <text>
        <r>
          <rPr>
            <b/>
            <sz val="9"/>
            <color indexed="81"/>
            <rFont val="Segoe UI"/>
            <family val="2"/>
          </rPr>
          <t>Não localizei essa linha no desenho e por isso adotei a mesma elevação que as anteriores.</t>
        </r>
      </text>
    </comment>
    <comment ref="C18" authorId="0" shapeId="0" xr:uid="{00000000-0006-0000-0400-000006000000}">
      <text>
        <r>
          <rPr>
            <b/>
            <sz val="9"/>
            <color indexed="81"/>
            <rFont val="Segoe UI"/>
            <family val="2"/>
          </rPr>
          <t>CONSIDEREI A ELEVAÇÃO DAS LINHAS
SS-103-DB-12" E
SS-104-DB-12"</t>
        </r>
      </text>
    </comment>
    <comment ref="K25" authorId="0" shapeId="0" xr:uid="{00000000-0006-0000-0400-000007000000}">
      <text>
        <r>
          <rPr>
            <b/>
            <sz val="9"/>
            <color indexed="81"/>
            <rFont val="Segoe UI"/>
            <family val="2"/>
          </rPr>
          <t>TÊS DE REDUÇÃO
20"X10"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Risoterm</author>
  </authors>
  <commentList>
    <comment ref="M43" authorId="0" shapeId="0" xr:uid="{00000000-0006-0000-0700-000001000000}">
      <text>
        <r>
          <rPr>
            <b/>
            <sz val="20"/>
            <color indexed="81"/>
            <rFont val="Segoe UI"/>
            <family val="2"/>
          </rPr>
          <t>Risoterm:</t>
        </r>
        <r>
          <rPr>
            <sz val="20"/>
            <color indexed="81"/>
            <rFont val="Segoe UI"/>
            <family val="2"/>
          </rPr>
          <t xml:space="preserve">
 m2/isol/dia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Risoterm Iago</author>
    <author>Zenon Brito</author>
  </authors>
  <commentList>
    <comment ref="B14" authorId="0" shapeId="0" xr:uid="{00000000-0006-0000-0B00-000001000000}">
      <text>
        <r>
          <rPr>
            <b/>
            <sz val="9"/>
            <color indexed="81"/>
            <rFont val="Tahoma"/>
            <family val="2"/>
          </rPr>
          <t>Risoterm Iago:</t>
        </r>
        <r>
          <rPr>
            <sz val="9"/>
            <color indexed="81"/>
            <rFont val="Tahoma"/>
            <family val="2"/>
          </rPr>
          <t xml:space="preserve">
Considerando bicamada de 25 mm + Adesivo de 0,360 L/m²</t>
        </r>
      </text>
    </comment>
    <comment ref="C14" authorId="0" shapeId="0" xr:uid="{00000000-0006-0000-0B00-000002000000}">
      <text>
        <r>
          <rPr>
            <b/>
            <sz val="9"/>
            <color indexed="81"/>
            <rFont val="Tahoma"/>
            <family val="2"/>
          </rPr>
          <t>Risoterm Iago:</t>
        </r>
        <r>
          <rPr>
            <sz val="9"/>
            <color indexed="81"/>
            <rFont val="Tahoma"/>
            <family val="2"/>
          </rPr>
          <t xml:space="preserve">
Considerando bicamada de 25 mm + Adesivo de 0,360 L/m²</t>
        </r>
      </text>
    </comment>
    <comment ref="F15" authorId="1" shapeId="0" xr:uid="{00000000-0006-0000-0B00-000003000000}">
      <text>
        <r>
          <rPr>
            <b/>
            <sz val="9"/>
            <color indexed="81"/>
            <rFont val="Segoe UI"/>
            <family val="2"/>
          </rPr>
          <t>Zenon Brito:</t>
        </r>
        <r>
          <rPr>
            <sz val="9"/>
            <color indexed="81"/>
            <rFont val="Segoe UI"/>
            <family val="2"/>
          </rPr>
          <t xml:space="preserve">
5 KG X M²</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lvnf@msn.com</author>
  </authors>
  <commentList>
    <comment ref="DC10" authorId="0" shapeId="0" xr:uid="{00000000-0006-0000-0C00-000001000000}">
      <text>
        <r>
          <rPr>
            <sz val="9"/>
            <color indexed="81"/>
            <rFont val="Segoe UI"/>
            <family val="2"/>
          </rPr>
          <t xml:space="preserve">
</t>
        </r>
        <r>
          <rPr>
            <b/>
            <u/>
            <sz val="16"/>
            <color indexed="81"/>
            <rFont val="Segoe UI"/>
            <family val="2"/>
          </rPr>
          <t xml:space="preserve">item 10.2
</t>
        </r>
        <r>
          <rPr>
            <sz val="18"/>
            <color indexed="81"/>
            <rFont val="Segoe UI"/>
            <family val="2"/>
          </rPr>
          <t xml:space="preserve">Todos os dias (07h30min às 18h30min), em regime de 10hs, de segunda a sexta feira. Nota - 3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Monsertec</author>
    <author>Zenon Brito</author>
    <author>Risoterm Iago</author>
  </authors>
  <commentList>
    <comment ref="F5" authorId="0" shapeId="0" xr:uid="{00000000-0006-0000-0D00-000001000000}">
      <text>
        <r>
          <rPr>
            <b/>
            <sz val="9"/>
            <color indexed="81"/>
            <rFont val="Segoe UI"/>
            <family val="2"/>
          </rPr>
          <t xml:space="preserve">
KG / M²</t>
        </r>
      </text>
    </comment>
    <comment ref="I5" authorId="1" shapeId="0" xr:uid="{2E2B80BF-0D28-49D4-9AE9-848C54879C10}">
      <text>
        <r>
          <rPr>
            <b/>
            <sz val="9"/>
            <color indexed="81"/>
            <rFont val="Segoe UI"/>
            <family val="2"/>
          </rPr>
          <t>Zenon Brito:</t>
        </r>
        <r>
          <rPr>
            <sz val="9"/>
            <color indexed="81"/>
            <rFont val="Segoe UI"/>
            <family val="2"/>
          </rPr>
          <t xml:space="preserve">
Valor Chapa mais impostos, lucro, frete</t>
        </r>
      </text>
    </comment>
    <comment ref="D14" authorId="2" shapeId="0" xr:uid="{00000000-0006-0000-0D00-000002000000}">
      <text>
        <r>
          <rPr>
            <b/>
            <sz val="9"/>
            <color indexed="81"/>
            <rFont val="Tahoma"/>
            <family val="2"/>
          </rPr>
          <t>Risoterm Iago:</t>
        </r>
        <r>
          <rPr>
            <sz val="9"/>
            <color indexed="81"/>
            <rFont val="Tahoma"/>
            <family val="2"/>
          </rPr>
          <t xml:space="preserve">
Manta + adesivo</t>
        </r>
      </text>
    </comment>
    <comment ref="D15" authorId="2" shapeId="0" xr:uid="{00000000-0006-0000-0D00-000003000000}">
      <text>
        <r>
          <rPr>
            <b/>
            <sz val="9"/>
            <color indexed="81"/>
            <rFont val="Tahoma"/>
            <family val="2"/>
          </rPr>
          <t>Risoterm Iago:</t>
        </r>
        <r>
          <rPr>
            <sz val="9"/>
            <color indexed="81"/>
            <rFont val="Tahoma"/>
            <family val="2"/>
          </rPr>
          <t xml:space="preserve">
Manta + adesivo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Risoterm</author>
  </authors>
  <commentList>
    <comment ref="K13" authorId="0" shapeId="0" xr:uid="{00000000-0006-0000-1200-000001000000}">
      <text>
        <r>
          <rPr>
            <sz val="9"/>
            <color indexed="81"/>
            <rFont val="Segoe UI"/>
            <family val="2"/>
          </rPr>
          <t xml:space="preserve">TÊS DE REDUÇÃO
18" X 8" - 4 
18" X 12" - 3
</t>
        </r>
      </text>
    </comment>
    <comment ref="K14" authorId="0" shapeId="0" xr:uid="{00000000-0006-0000-1200-000002000000}">
      <text>
        <r>
          <rPr>
            <b/>
            <sz val="9"/>
            <color indexed="81"/>
            <rFont val="Segoe UI"/>
            <family val="2"/>
          </rPr>
          <t>TÊ DE REDUÇÃO
18" X 12"</t>
        </r>
        <r>
          <rPr>
            <sz val="9"/>
            <color indexed="81"/>
            <rFont val="Segoe UI"/>
            <family val="2"/>
          </rPr>
          <t xml:space="preserve">
</t>
        </r>
      </text>
    </comment>
    <comment ref="F15" authorId="0" shapeId="0" xr:uid="{00000000-0006-0000-1200-000003000000}">
      <text>
        <r>
          <rPr>
            <b/>
            <sz val="9"/>
            <color indexed="81"/>
            <rFont val="Segoe UI"/>
            <family val="2"/>
          </rPr>
          <t>ML total dividido pelas 4 linhas de 8" pois não consegui precisar o comprimento de cada uma.</t>
        </r>
      </text>
    </comment>
    <comment ref="C17" authorId="0" shapeId="0" xr:uid="{00000000-0006-0000-1200-000004000000}">
      <text>
        <r>
          <rPr>
            <b/>
            <sz val="9"/>
            <color indexed="81"/>
            <rFont val="Segoe UI"/>
            <family val="2"/>
          </rPr>
          <t>Não localizei essa linha no desenho e por isso adotei a mesma elevação que as anteriores.</t>
        </r>
      </text>
    </comment>
    <comment ref="C18" authorId="0" shapeId="0" xr:uid="{00000000-0006-0000-1200-000005000000}">
      <text>
        <r>
          <rPr>
            <b/>
            <sz val="9"/>
            <color indexed="81"/>
            <rFont val="Segoe UI"/>
            <family val="2"/>
          </rPr>
          <t>Não localizei essa linha no desenho e por isso adotei a mesma elevação que as anteriores.</t>
        </r>
      </text>
    </comment>
    <comment ref="C19" authorId="0" shapeId="0" xr:uid="{00000000-0006-0000-1200-000006000000}">
      <text>
        <r>
          <rPr>
            <b/>
            <sz val="9"/>
            <color indexed="81"/>
            <rFont val="Segoe UI"/>
            <family val="2"/>
          </rPr>
          <t>CONSIDEREI A ELEVAÇÃO DAS LINHAS
SS-103-DB-12" E
SS-104-DB-12"</t>
        </r>
      </text>
    </comment>
    <comment ref="K26" authorId="0" shapeId="0" xr:uid="{00000000-0006-0000-1200-000007000000}">
      <text>
        <r>
          <rPr>
            <b/>
            <sz val="9"/>
            <color indexed="81"/>
            <rFont val="Segoe UI"/>
            <family val="2"/>
          </rPr>
          <t>TÊS DE REDUÇÃO
20"X10"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lvnf@msn.com</author>
  </authors>
  <commentList>
    <comment ref="C10" authorId="0" shapeId="0" xr:uid="{00000000-0006-0000-1300-000001000000}">
      <text>
        <r>
          <rPr>
            <b/>
            <sz val="9"/>
            <color indexed="81"/>
            <rFont val="Segoe UI"/>
            <family val="2"/>
          </rPr>
          <t>lvnf@msn.com:</t>
        </r>
        <r>
          <rPr>
            <sz val="9"/>
            <color indexed="81"/>
            <rFont val="Segoe UI"/>
            <family val="2"/>
          </rPr>
          <t xml:space="preserve">
SOLICITAR CÁLCULO PERDA TÉRMICA</t>
        </r>
      </text>
    </comment>
    <comment ref="O10" authorId="0" shapeId="0" xr:uid="{00000000-0006-0000-1300-000002000000}">
      <text>
        <r>
          <rPr>
            <b/>
            <sz val="9"/>
            <color indexed="81"/>
            <rFont val="Segoe UI"/>
            <family val="2"/>
          </rPr>
          <t>lvnf@msn.com:</t>
        </r>
        <r>
          <rPr>
            <sz val="9"/>
            <color indexed="81"/>
            <rFont val="Segoe UI"/>
            <family val="2"/>
          </rPr>
          <t xml:space="preserve">
SOLICITAR CÁLCULO PERDA TÉRMICA</t>
        </r>
      </text>
    </comment>
    <comment ref="C12" authorId="0" shapeId="0" xr:uid="{00000000-0006-0000-1300-000003000000}">
      <text>
        <r>
          <rPr>
            <b/>
            <sz val="9"/>
            <color indexed="81"/>
            <rFont val="Segoe UI"/>
            <family val="2"/>
          </rPr>
          <t>lvnf@msn.com:</t>
        </r>
        <r>
          <rPr>
            <sz val="9"/>
            <color indexed="81"/>
            <rFont val="Segoe UI"/>
            <family val="2"/>
          </rPr>
          <t xml:space="preserve">
SOLICITAR CÁLCULO PERDA TÉRMICA</t>
        </r>
      </text>
    </comment>
    <comment ref="O12" authorId="0" shapeId="0" xr:uid="{00000000-0006-0000-1300-000004000000}">
      <text>
        <r>
          <rPr>
            <b/>
            <sz val="9"/>
            <color indexed="81"/>
            <rFont val="Segoe UI"/>
            <family val="2"/>
          </rPr>
          <t>lvnf@msn.com:</t>
        </r>
        <r>
          <rPr>
            <sz val="9"/>
            <color indexed="81"/>
            <rFont val="Segoe UI"/>
            <family val="2"/>
          </rPr>
          <t xml:space="preserve">
SOLICITAR CÁLCULO PERDA TÉRMICA</t>
        </r>
      </text>
    </comment>
    <comment ref="C16" authorId="0" shapeId="0" xr:uid="{00000000-0006-0000-1300-000005000000}">
      <text>
        <r>
          <rPr>
            <b/>
            <sz val="9"/>
            <color indexed="81"/>
            <rFont val="Segoe UI"/>
            <family val="2"/>
          </rPr>
          <t>lvnf@msn.com:</t>
        </r>
        <r>
          <rPr>
            <sz val="9"/>
            <color indexed="81"/>
            <rFont val="Segoe UI"/>
            <family val="2"/>
          </rPr>
          <t xml:space="preserve">
SOLICITAR CÁLCULO PERDA TÉRMICA</t>
        </r>
      </text>
    </comment>
    <comment ref="O16" authorId="0" shapeId="0" xr:uid="{00000000-0006-0000-1300-000006000000}">
      <text>
        <r>
          <rPr>
            <b/>
            <sz val="9"/>
            <color indexed="81"/>
            <rFont val="Segoe UI"/>
            <family val="2"/>
          </rPr>
          <t>lvnf@msn.com:</t>
        </r>
        <r>
          <rPr>
            <sz val="9"/>
            <color indexed="81"/>
            <rFont val="Segoe UI"/>
            <family val="2"/>
          </rPr>
          <t xml:space="preserve">
SOLICITAR CÁLCULO PERDA TÉRMICA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lvnf@msn.com</author>
  </authors>
  <commentList>
    <comment ref="C10" authorId="0" shapeId="0" xr:uid="{00000000-0006-0000-1400-000001000000}">
      <text>
        <r>
          <rPr>
            <b/>
            <sz val="9"/>
            <color indexed="81"/>
            <rFont val="Segoe UI"/>
            <family val="2"/>
          </rPr>
          <t>lvnf@msn.com:</t>
        </r>
        <r>
          <rPr>
            <sz val="9"/>
            <color indexed="81"/>
            <rFont val="Segoe UI"/>
            <family val="2"/>
          </rPr>
          <t xml:space="preserve">
SOLICITAR CÁLCULO PERDA TÉRMICA</t>
        </r>
      </text>
    </comment>
    <comment ref="O10" authorId="0" shapeId="0" xr:uid="{00000000-0006-0000-1400-000002000000}">
      <text>
        <r>
          <rPr>
            <b/>
            <sz val="9"/>
            <color indexed="81"/>
            <rFont val="Segoe UI"/>
            <family val="2"/>
          </rPr>
          <t>lvnf@msn.com:</t>
        </r>
        <r>
          <rPr>
            <sz val="9"/>
            <color indexed="81"/>
            <rFont val="Segoe UI"/>
            <family val="2"/>
          </rPr>
          <t xml:space="preserve">
SOLICITAR CÁLCULO PERDA TÉRMICA</t>
        </r>
      </text>
    </comment>
    <comment ref="C12" authorId="0" shapeId="0" xr:uid="{00000000-0006-0000-1400-000003000000}">
      <text>
        <r>
          <rPr>
            <b/>
            <sz val="9"/>
            <color indexed="81"/>
            <rFont val="Segoe UI"/>
            <family val="2"/>
          </rPr>
          <t>lvnf@msn.com:</t>
        </r>
        <r>
          <rPr>
            <sz val="9"/>
            <color indexed="81"/>
            <rFont val="Segoe UI"/>
            <family val="2"/>
          </rPr>
          <t xml:space="preserve">
SOLICITAR CÁLCULO PERDA TÉRMICA</t>
        </r>
      </text>
    </comment>
    <comment ref="O12" authorId="0" shapeId="0" xr:uid="{00000000-0006-0000-1400-000004000000}">
      <text>
        <r>
          <rPr>
            <b/>
            <sz val="9"/>
            <color indexed="81"/>
            <rFont val="Segoe UI"/>
            <family val="2"/>
          </rPr>
          <t>lvnf@msn.com:</t>
        </r>
        <r>
          <rPr>
            <sz val="9"/>
            <color indexed="81"/>
            <rFont val="Segoe UI"/>
            <family val="2"/>
          </rPr>
          <t xml:space="preserve">
SOLICITAR CÁLCULO PERDA TÉRMICA</t>
        </r>
      </text>
    </comment>
    <comment ref="C16" authorId="0" shapeId="0" xr:uid="{00000000-0006-0000-1400-000005000000}">
      <text>
        <r>
          <rPr>
            <b/>
            <sz val="9"/>
            <color indexed="81"/>
            <rFont val="Segoe UI"/>
            <family val="2"/>
          </rPr>
          <t>lvnf@msn.com:</t>
        </r>
        <r>
          <rPr>
            <sz val="9"/>
            <color indexed="81"/>
            <rFont val="Segoe UI"/>
            <family val="2"/>
          </rPr>
          <t xml:space="preserve">
SOLICITAR CÁLCULO PERDA TÉRMICA</t>
        </r>
      </text>
    </comment>
    <comment ref="O16" authorId="0" shapeId="0" xr:uid="{00000000-0006-0000-1400-000006000000}">
      <text>
        <r>
          <rPr>
            <b/>
            <sz val="9"/>
            <color indexed="81"/>
            <rFont val="Segoe UI"/>
            <family val="2"/>
          </rPr>
          <t>lvnf@msn.com:</t>
        </r>
        <r>
          <rPr>
            <sz val="9"/>
            <color indexed="81"/>
            <rFont val="Segoe UI"/>
            <family val="2"/>
          </rPr>
          <t xml:space="preserve">
SOLICITAR CÁLCULO PERDA TÉRMICA</t>
        </r>
      </text>
    </comment>
  </commentList>
</comments>
</file>

<file path=xl/sharedStrings.xml><?xml version="1.0" encoding="utf-8"?>
<sst xmlns="http://schemas.openxmlformats.org/spreadsheetml/2006/main" count="2070" uniqueCount="948">
  <si>
    <t>ITEM</t>
  </si>
  <si>
    <t>TAG DA LINHA</t>
  </si>
  <si>
    <t>ELEVAÇÃO (REF.)</t>
  </si>
  <si>
    <t>FOLHA</t>
  </si>
  <si>
    <t>QUANTIDADE</t>
  </si>
  <si>
    <t>PREÇO APLIC.</t>
  </si>
  <si>
    <t>PREÇO MAT.</t>
  </si>
  <si>
    <t>SUBTOTAL</t>
  </si>
  <si>
    <t>PREÇO TOTAL DO ITEM</t>
  </si>
  <si>
    <t>OBSERVAÇÃO</t>
  </si>
  <si>
    <t>TIPO DE ISOLAMENTO</t>
  </si>
  <si>
    <t>TUBO</t>
  </si>
  <si>
    <t xml:space="preserve">FPE </t>
  </si>
  <si>
    <t xml:space="preserve">RED </t>
  </si>
  <si>
    <t xml:space="preserve">VGA </t>
  </si>
  <si>
    <t xml:space="preserve">TÊ </t>
  </si>
  <si>
    <t xml:space="preserve">TOTAL </t>
  </si>
  <si>
    <t xml:space="preserve">DIÂM. </t>
  </si>
  <si>
    <t xml:space="preserve">PERI </t>
  </si>
  <si>
    <t xml:space="preserve">ÁREA </t>
  </si>
  <si>
    <t xml:space="preserve"> ML</t>
  </si>
  <si>
    <t>METRO</t>
  </si>
  <si>
    <t>(M²)</t>
  </si>
  <si>
    <t>Subtotal : R$</t>
  </si>
  <si>
    <t>PREÇO TOTAL DO ITEM - RECOMPOSIÇÃO</t>
  </si>
  <si>
    <t>PREÇO TOTAL DO ITEM - REMOÇÃO</t>
  </si>
  <si>
    <t>PREÇO M³ - RECOMPOSIÇÃO</t>
  </si>
  <si>
    <t>PREÇO M³ - REMOÇÃO</t>
  </si>
  <si>
    <t>VOLUME (m³)</t>
  </si>
  <si>
    <t>Esp. Isol.</t>
  </si>
  <si>
    <t>ÁREA TOTAL (M²)</t>
  </si>
  <si>
    <t>B.V.'s / FLANGE</t>
  </si>
  <si>
    <t>CALOTA</t>
  </si>
  <si>
    <t>CORPO</t>
  </si>
  <si>
    <t>TEMP. (ºC)</t>
  </si>
  <si>
    <t>DESCRIÇÃO DO EQUIPAMENTO</t>
  </si>
  <si>
    <t>ESTIMATIVA DE CUSTO EQUIPAMENTOS</t>
  </si>
  <si>
    <t xml:space="preserve">Peso chapa(kg) </t>
  </si>
  <si>
    <t xml:space="preserve">Peso isolamento(kg) </t>
  </si>
  <si>
    <t>Volume (m³)</t>
  </si>
  <si>
    <t>Densidade do isolante (kg/m³)</t>
  </si>
  <si>
    <t>Área Total (m²)</t>
  </si>
  <si>
    <t>RESUMO</t>
  </si>
  <si>
    <t>Subtotal</t>
  </si>
  <si>
    <t>área total (m²)</t>
  </si>
  <si>
    <t>Quantidade</t>
  </si>
  <si>
    <t>ÁREA TOTAL</t>
  </si>
  <si>
    <t>ÁREA</t>
  </si>
  <si>
    <t>BITOLA</t>
  </si>
  <si>
    <t>DESCRIÇÃO</t>
  </si>
  <si>
    <t>ACESSÓRIOS</t>
  </si>
  <si>
    <t>TOTAL CALOTA  (M²)</t>
  </si>
  <si>
    <t>TOTAL CORPO (M²)</t>
  </si>
  <si>
    <t>Área (m²)</t>
  </si>
  <si>
    <t>Suportes/olhais</t>
  </si>
  <si>
    <t>Diâmetro com isolamento (m)</t>
  </si>
  <si>
    <t>Comprimento/altura (mm)</t>
  </si>
  <si>
    <t>Espessura isolamento (mm)</t>
  </si>
  <si>
    <t>Diâmetro casco (mm)</t>
  </si>
  <si>
    <t>FLANGE Q NÃO CONSTA NA RELAÇÃO</t>
  </si>
  <si>
    <t>Calota</t>
  </si>
  <si>
    <t>Corpo cilindrico 02</t>
  </si>
  <si>
    <t>Corpo cilindrico 01</t>
  </si>
  <si>
    <t>EQUIPAMENTO</t>
  </si>
  <si>
    <t>TAG: xxx</t>
  </si>
  <si>
    <t>Cálculo de área para Equipamentos</t>
  </si>
  <si>
    <t>42 X 125</t>
  </si>
  <si>
    <t>42 X 115</t>
  </si>
  <si>
    <t>42 X 100</t>
  </si>
  <si>
    <t>42 X 83</t>
  </si>
  <si>
    <t>42 X 75</t>
  </si>
  <si>
    <t>42 X 63</t>
  </si>
  <si>
    <t>42 X 50</t>
  </si>
  <si>
    <t>42 X 38</t>
  </si>
  <si>
    <t>42 X 25</t>
  </si>
  <si>
    <t>40 X 125</t>
  </si>
  <si>
    <t>40 X 115</t>
  </si>
  <si>
    <t>40 X 100</t>
  </si>
  <si>
    <t>40 X 83</t>
  </si>
  <si>
    <t>40 X 75</t>
  </si>
  <si>
    <t>40 X 63</t>
  </si>
  <si>
    <t>40 X 50</t>
  </si>
  <si>
    <t>40 X 38</t>
  </si>
  <si>
    <t>40 X 25</t>
  </si>
  <si>
    <t>38 X 125</t>
  </si>
  <si>
    <t>38 X 115</t>
  </si>
  <si>
    <t>38 X 100</t>
  </si>
  <si>
    <t>38 X 83</t>
  </si>
  <si>
    <t>38 X 75</t>
  </si>
  <si>
    <t>38 X 63</t>
  </si>
  <si>
    <t>38 X 50</t>
  </si>
  <si>
    <t>38 X 38</t>
  </si>
  <si>
    <t>38 X 25</t>
  </si>
  <si>
    <t>36 X 125</t>
  </si>
  <si>
    <t>36 X 115</t>
  </si>
  <si>
    <t>36 X 100</t>
  </si>
  <si>
    <t>36 X 83</t>
  </si>
  <si>
    <t>36 X 75</t>
  </si>
  <si>
    <t>36 X 63</t>
  </si>
  <si>
    <t>36 X 50</t>
  </si>
  <si>
    <t>36 X 38</t>
  </si>
  <si>
    <t>36 X 25</t>
  </si>
  <si>
    <t>34 X 125</t>
  </si>
  <si>
    <t>34 X 115</t>
  </si>
  <si>
    <t>34 X 100</t>
  </si>
  <si>
    <t>34 X 83</t>
  </si>
  <si>
    <t>34 X 75</t>
  </si>
  <si>
    <t>34 X 63</t>
  </si>
  <si>
    <t>34 X 50</t>
  </si>
  <si>
    <t>34 X 38</t>
  </si>
  <si>
    <t>34 X 25</t>
  </si>
  <si>
    <t>32 X 125</t>
  </si>
  <si>
    <t>32 X 115</t>
  </si>
  <si>
    <t>32 X 100</t>
  </si>
  <si>
    <t>32 X 83</t>
  </si>
  <si>
    <t>32 X 75</t>
  </si>
  <si>
    <t>32 X 63</t>
  </si>
  <si>
    <t>32 X 50</t>
  </si>
  <si>
    <t>32 X 38</t>
  </si>
  <si>
    <t>32 X 25</t>
  </si>
  <si>
    <t>30 X 125</t>
  </si>
  <si>
    <t>30 X 115</t>
  </si>
  <si>
    <t>30 X 100</t>
  </si>
  <si>
    <t>30 X 83</t>
  </si>
  <si>
    <t>30 X 75</t>
  </si>
  <si>
    <t>30 X 63</t>
  </si>
  <si>
    <t>30 X 50</t>
  </si>
  <si>
    <t>30 X 38</t>
  </si>
  <si>
    <t>30 X 25</t>
  </si>
  <si>
    <t>28 X 125</t>
  </si>
  <si>
    <t>28 X 115</t>
  </si>
  <si>
    <t>28 X 100</t>
  </si>
  <si>
    <t>28 X 83</t>
  </si>
  <si>
    <t>28 X 75</t>
  </si>
  <si>
    <t>28 X 63</t>
  </si>
  <si>
    <t>28 X 50</t>
  </si>
  <si>
    <t>28 X 38</t>
  </si>
  <si>
    <t>28 X 25</t>
  </si>
  <si>
    <t>26 X 125</t>
  </si>
  <si>
    <t>26 X 115</t>
  </si>
  <si>
    <t>26 X 100</t>
  </si>
  <si>
    <t>26 X 83</t>
  </si>
  <si>
    <t>26 X 75</t>
  </si>
  <si>
    <t>26 X 63</t>
  </si>
  <si>
    <t>26 X 50</t>
  </si>
  <si>
    <t>26 X 38</t>
  </si>
  <si>
    <t>26 X 25</t>
  </si>
  <si>
    <t>24 X 125</t>
  </si>
  <si>
    <t>24 X 115</t>
  </si>
  <si>
    <t>24 X 100</t>
  </si>
  <si>
    <t>24 X 83</t>
  </si>
  <si>
    <t>24 X 75</t>
  </si>
  <si>
    <t>24 X 63</t>
  </si>
  <si>
    <t>24 X 50</t>
  </si>
  <si>
    <t>24 X 38</t>
  </si>
  <si>
    <t>24 X 25</t>
  </si>
  <si>
    <t>22 X 125</t>
  </si>
  <si>
    <t>22 X 115</t>
  </si>
  <si>
    <t>22 X 100</t>
  </si>
  <si>
    <t>22 X 83</t>
  </si>
  <si>
    <t>22 X 75</t>
  </si>
  <si>
    <t>22 X 63</t>
  </si>
  <si>
    <t>22 X 50</t>
  </si>
  <si>
    <t>22 X 38</t>
  </si>
  <si>
    <t>22 X 25</t>
  </si>
  <si>
    <t>20 X 125</t>
  </si>
  <si>
    <t>20 X 115</t>
  </si>
  <si>
    <t>20 X 100</t>
  </si>
  <si>
    <t>20 X 83</t>
  </si>
  <si>
    <t>20 X 75</t>
  </si>
  <si>
    <t>20 X 63</t>
  </si>
  <si>
    <t>20 X 50</t>
  </si>
  <si>
    <t>20 X 38</t>
  </si>
  <si>
    <t>20 X 25</t>
  </si>
  <si>
    <t>18 X 125</t>
  </si>
  <si>
    <t>18 X 115</t>
  </si>
  <si>
    <t>18 X 100</t>
  </si>
  <si>
    <t>18 X 83</t>
  </si>
  <si>
    <t>18 X 75</t>
  </si>
  <si>
    <t>18 X 63</t>
  </si>
  <si>
    <t>18 X 50</t>
  </si>
  <si>
    <t>18 X 38</t>
  </si>
  <si>
    <t>18 X 25</t>
  </si>
  <si>
    <t>16 X 125</t>
  </si>
  <si>
    <t>16 X 115</t>
  </si>
  <si>
    <t>16 X 100</t>
  </si>
  <si>
    <t>16 X 83</t>
  </si>
  <si>
    <t>16 X 75</t>
  </si>
  <si>
    <t>16 X 63</t>
  </si>
  <si>
    <t>16 X 50</t>
  </si>
  <si>
    <t>16 X 38</t>
  </si>
  <si>
    <t>16 X 25</t>
  </si>
  <si>
    <t>14 X 125</t>
  </si>
  <si>
    <t>14 X 115</t>
  </si>
  <si>
    <t>14 X 100</t>
  </si>
  <si>
    <t>14 X 83</t>
  </si>
  <si>
    <t>14 X 75</t>
  </si>
  <si>
    <t>14 X 63</t>
  </si>
  <si>
    <t>14 X 50</t>
  </si>
  <si>
    <t>14 X 38</t>
  </si>
  <si>
    <t>14 X 25</t>
  </si>
  <si>
    <t>12 X 125</t>
  </si>
  <si>
    <t>12 X 115</t>
  </si>
  <si>
    <t>12 X 100</t>
  </si>
  <si>
    <t>12 X 83</t>
  </si>
  <si>
    <t>12 X 75</t>
  </si>
  <si>
    <t>12 X 63</t>
  </si>
  <si>
    <t>12 X 50</t>
  </si>
  <si>
    <t>12 X 38</t>
  </si>
  <si>
    <t>12 X 25</t>
  </si>
  <si>
    <t>10 X 125</t>
  </si>
  <si>
    <t>10 X 115</t>
  </si>
  <si>
    <t>10 X 100</t>
  </si>
  <si>
    <t>10 X 83</t>
  </si>
  <si>
    <t>10 X 75</t>
  </si>
  <si>
    <t>10 X 63</t>
  </si>
  <si>
    <t>10 X 50</t>
  </si>
  <si>
    <t>10 X 38</t>
  </si>
  <si>
    <t>10 X 25</t>
  </si>
  <si>
    <t>8 X 125</t>
  </si>
  <si>
    <t>8 X 115</t>
  </si>
  <si>
    <t>8 X 100</t>
  </si>
  <si>
    <t>8 X 83</t>
  </si>
  <si>
    <t>8 X 75</t>
  </si>
  <si>
    <t>8 X 63</t>
  </si>
  <si>
    <t>8 X 50</t>
  </si>
  <si>
    <t>8 X 38</t>
  </si>
  <si>
    <t>8 X 25</t>
  </si>
  <si>
    <t>6 X 125</t>
  </si>
  <si>
    <t>6 X 115</t>
  </si>
  <si>
    <t>6 X 100</t>
  </si>
  <si>
    <t>6 X 83</t>
  </si>
  <si>
    <t>6 X 75</t>
  </si>
  <si>
    <t>6 X 63</t>
  </si>
  <si>
    <t>6 X 50</t>
  </si>
  <si>
    <t>6 X 38</t>
  </si>
  <si>
    <t>6 X 25</t>
  </si>
  <si>
    <t>4 X 125</t>
  </si>
  <si>
    <t>4 X 115</t>
  </si>
  <si>
    <t>4 X 100</t>
  </si>
  <si>
    <t>4 X 83</t>
  </si>
  <si>
    <t>4 X 75</t>
  </si>
  <si>
    <t>4 X 63</t>
  </si>
  <si>
    <t>4 X 50</t>
  </si>
  <si>
    <t>4 X 38</t>
  </si>
  <si>
    <t>4 X 25</t>
  </si>
  <si>
    <t>3 X 125</t>
  </si>
  <si>
    <t>3 X 115</t>
  </si>
  <si>
    <t>3 X 100</t>
  </si>
  <si>
    <t>3 X 83</t>
  </si>
  <si>
    <t>3 X 75</t>
  </si>
  <si>
    <t>3 X 63</t>
  </si>
  <si>
    <t>3 X 50</t>
  </si>
  <si>
    <t>3 X 38</t>
  </si>
  <si>
    <t>3 X 25</t>
  </si>
  <si>
    <t>2 1/2 X 125</t>
  </si>
  <si>
    <t>2 1/2 X 115</t>
  </si>
  <si>
    <t>2 1/2X 100</t>
  </si>
  <si>
    <t>2 1/2 X 83</t>
  </si>
  <si>
    <t>2 1/2 X 75</t>
  </si>
  <si>
    <t>2 1/2 X 63</t>
  </si>
  <si>
    <t>2 1/2 X 38</t>
  </si>
  <si>
    <t>2 1/2 X 25</t>
  </si>
  <si>
    <t>2X 125</t>
  </si>
  <si>
    <t>2 X 115</t>
  </si>
  <si>
    <t>2 X 100</t>
  </si>
  <si>
    <t>2 X 83</t>
  </si>
  <si>
    <t>2 X 75</t>
  </si>
  <si>
    <t>2 X 63</t>
  </si>
  <si>
    <t>2 X 50</t>
  </si>
  <si>
    <t>2 X 38</t>
  </si>
  <si>
    <t>2 X 25</t>
  </si>
  <si>
    <t>1 X 125</t>
  </si>
  <si>
    <t>1 X 115</t>
  </si>
  <si>
    <t>1 X 100</t>
  </si>
  <si>
    <t>1 X 83</t>
  </si>
  <si>
    <t>1 X 75</t>
  </si>
  <si>
    <t>1 X 63</t>
  </si>
  <si>
    <t>1 X 50</t>
  </si>
  <si>
    <t>1 X 38</t>
  </si>
  <si>
    <t>1 X 25</t>
  </si>
  <si>
    <t>3/4 X 125</t>
  </si>
  <si>
    <t>3/4 X 115</t>
  </si>
  <si>
    <t>3/4 X 100</t>
  </si>
  <si>
    <t>TABELA DE PID</t>
  </si>
  <si>
    <t>38 a 92C</t>
  </si>
  <si>
    <t>93 a 148C</t>
  </si>
  <si>
    <t>149 a 203C</t>
  </si>
  <si>
    <t>204 a 259C</t>
  </si>
  <si>
    <t>260 a 315C</t>
  </si>
  <si>
    <t>316 a 370C</t>
  </si>
  <si>
    <t>371 a 426C</t>
  </si>
  <si>
    <t>427 A 481C</t>
  </si>
  <si>
    <t>&gt;24</t>
  </si>
  <si>
    <t>DIÂMETRO NOMINAL DA LINHA (POLEGADAS)</t>
  </si>
  <si>
    <t>TEMPERATURA</t>
  </si>
  <si>
    <t>19mm x 0.5mm</t>
  </si>
  <si>
    <t xml:space="preserve">Superior a 1800mm </t>
  </si>
  <si>
    <t>13mm  x 0.5mm</t>
  </si>
  <si>
    <t>Inferior a 1800mm</t>
  </si>
  <si>
    <t>TAMANHO DA CINTA</t>
  </si>
  <si>
    <t>DIÂMETRO ISOLADO</t>
  </si>
  <si>
    <t>3.0</t>
  </si>
  <si>
    <t>-74 a –101C</t>
  </si>
  <si>
    <t>2.5</t>
  </si>
  <si>
    <t>-60 a –73C</t>
  </si>
  <si>
    <t>-46 a –59C</t>
  </si>
  <si>
    <t>2.0</t>
  </si>
  <si>
    <t>-32 a –45C</t>
  </si>
  <si>
    <t>1.5</t>
  </si>
  <si>
    <t>-19 a –31C</t>
  </si>
  <si>
    <t>-10 a –18C</t>
  </si>
  <si>
    <t>-2 a –9C</t>
  </si>
  <si>
    <t>6 a –1C</t>
  </si>
  <si>
    <t xml:space="preserve">1.0 mm de espessura, liso       </t>
  </si>
  <si>
    <t>Coberturas pré-fabricadas para acessórios de linhas, coberturas para acessórios fabricadas no campo, coberturas para caixas de válvulas e heads de vasos</t>
  </si>
  <si>
    <t>16 a 7C</t>
  </si>
  <si>
    <t xml:space="preserve">1.0 mm de espessura, liso      </t>
  </si>
  <si>
    <t xml:space="preserve">Vasos verticais, acima de 1800 mm </t>
  </si>
  <si>
    <t xml:space="preserve">27 A 17C </t>
  </si>
  <si>
    <t xml:space="preserve">1.0 mm de espessura, liso         </t>
  </si>
  <si>
    <t xml:space="preserve">Tanques e vasos, 6" a 1800 mm                    </t>
  </si>
  <si>
    <t xml:space="preserve">0.8 mm de espessura, liso          </t>
  </si>
  <si>
    <t>Linha, menos de 6" (150mm)</t>
  </si>
  <si>
    <t xml:space="preserve">Espessura </t>
  </si>
  <si>
    <t>Diâmetro Externo do Item a Ser Isolado</t>
  </si>
  <si>
    <t>UNIDADE</t>
  </si>
  <si>
    <t>LEVANTAMENTO - LINHAS  CAFOR</t>
  </si>
  <si>
    <t>MS-302-BB-6"</t>
  </si>
  <si>
    <t>EL6286</t>
  </si>
  <si>
    <t>CRL</t>
  </si>
  <si>
    <t>MS-306-BB-3"</t>
  </si>
  <si>
    <t>EL6246</t>
  </si>
  <si>
    <t>MS</t>
  </si>
  <si>
    <t>SS</t>
  </si>
  <si>
    <t>SS-121-DB-18"</t>
  </si>
  <si>
    <t>EL4877</t>
  </si>
  <si>
    <t>SS-100-DB-18"</t>
  </si>
  <si>
    <t>EL6431</t>
  </si>
  <si>
    <t>1</t>
  </si>
  <si>
    <t>2</t>
  </si>
  <si>
    <t>3</t>
  </si>
  <si>
    <t>3.1</t>
  </si>
  <si>
    <t>SS-101-DB-8"</t>
  </si>
  <si>
    <t>EL8470</t>
  </si>
  <si>
    <t>SS-102-DB-8"</t>
  </si>
  <si>
    <t>SS-103-DB-8"</t>
  </si>
  <si>
    <t>SS-104-DB-8"</t>
  </si>
  <si>
    <t>SS-1D-12"</t>
  </si>
  <si>
    <t>EL8433</t>
  </si>
  <si>
    <t>EL3801</t>
  </si>
  <si>
    <t>3.2</t>
  </si>
  <si>
    <t>EL7831</t>
  </si>
  <si>
    <t>MS-300-12"</t>
  </si>
  <si>
    <t>EL7764</t>
  </si>
  <si>
    <t>4</t>
  </si>
  <si>
    <t>MS-327-BB-16"</t>
  </si>
  <si>
    <t>EL6405</t>
  </si>
  <si>
    <t>6</t>
  </si>
  <si>
    <t>MS-331-BB-16"</t>
  </si>
  <si>
    <t>EL7600</t>
  </si>
  <si>
    <t>MS-332-BB-16"</t>
  </si>
  <si>
    <t>EL10103</t>
  </si>
  <si>
    <t>MS-337-BB-20"</t>
  </si>
  <si>
    <t>EL7805</t>
  </si>
  <si>
    <t>SS-103-DB-12"</t>
  </si>
  <si>
    <t>SS-104-DB-12"</t>
  </si>
  <si>
    <t>8</t>
  </si>
  <si>
    <t>EL10062</t>
  </si>
  <si>
    <t>EL8852</t>
  </si>
  <si>
    <t>8.1</t>
  </si>
  <si>
    <t>SS-103-12"</t>
  </si>
  <si>
    <t>EL123</t>
  </si>
  <si>
    <t>6-9</t>
  </si>
  <si>
    <t>5-11</t>
  </si>
  <si>
    <t>MS-328-BB-20"</t>
  </si>
  <si>
    <t>EL6456</t>
  </si>
  <si>
    <t>MS-326-BB-14"</t>
  </si>
  <si>
    <t>EL7220</t>
  </si>
  <si>
    <t>10-11</t>
  </si>
  <si>
    <t>MS-340-BB-18"</t>
  </si>
  <si>
    <t>EL10804</t>
  </si>
  <si>
    <t>EL8598</t>
  </si>
  <si>
    <t>13</t>
  </si>
  <si>
    <t>MS-338-BB-10"</t>
  </si>
  <si>
    <t>EL4635</t>
  </si>
  <si>
    <t>MS-1201-3"</t>
  </si>
  <si>
    <t>MS-1204-3"</t>
  </si>
  <si>
    <t>EL104600</t>
  </si>
  <si>
    <t>EL104900</t>
  </si>
  <si>
    <t>14</t>
  </si>
  <si>
    <t>MS-1150-16"</t>
  </si>
  <si>
    <t>15</t>
  </si>
  <si>
    <t>EL104100</t>
  </si>
  <si>
    <t>ESP. ISOL.</t>
  </si>
  <si>
    <t>M</t>
  </si>
  <si>
    <t>Espessuras (m)</t>
  </si>
  <si>
    <t>(M³)</t>
  </si>
  <si>
    <t>VOLUME</t>
  </si>
  <si>
    <t>SS-105-DB-10"</t>
  </si>
  <si>
    <t>16</t>
  </si>
  <si>
    <t>EL9678</t>
  </si>
  <si>
    <t>SS-106-DB-10"</t>
  </si>
  <si>
    <t>17</t>
  </si>
  <si>
    <t>SS-107-DB-6"</t>
  </si>
  <si>
    <t>18</t>
  </si>
  <si>
    <t>EL6084</t>
  </si>
  <si>
    <t>SS-108-DB-12"</t>
  </si>
  <si>
    <t>EL7655</t>
  </si>
  <si>
    <t>19</t>
  </si>
  <si>
    <t>18"-SS-51-003409-DB-IQ140</t>
  </si>
  <si>
    <t>20</t>
  </si>
  <si>
    <t>18"-SS-51-003407-DB-IQ140</t>
  </si>
  <si>
    <t>18"-SS-51-003410-DB-IQ140</t>
  </si>
  <si>
    <t>18"-SS-51-003406-DB-IQ140</t>
  </si>
  <si>
    <t>10"-SS-51-003411-DB-IQ102</t>
  </si>
  <si>
    <t>10"-SS-51-003412-DB-IQ102</t>
  </si>
  <si>
    <t>12"-SS-51-003420-E12-IQ126</t>
  </si>
  <si>
    <t>12"-SS-51-003418-E12-IQ126</t>
  </si>
  <si>
    <t>26"-SS-51-003406-E12-IQ140</t>
  </si>
  <si>
    <t>26"-SS-51-3244-E12-IQ140</t>
  </si>
  <si>
    <t>26"-V42-6051-093-E12-IQ102</t>
  </si>
  <si>
    <t>26"-V42-0039-092-E12-IQ102</t>
  </si>
  <si>
    <t>17B</t>
  </si>
  <si>
    <t>18"-V42-17B-0646-E1(GAZ)-IQ140</t>
  </si>
  <si>
    <t>18"-V42-17B-0402-E1(GAZ)-IQ140</t>
  </si>
  <si>
    <t>18"-V42-17B-0647-E1(GAZ)-IQ140</t>
  </si>
  <si>
    <t>18"-V42-17B-0403-E1(GAZ)-IQ140</t>
  </si>
  <si>
    <t>10"-V42-17B-0645-E1(GAZ)-IQ102</t>
  </si>
  <si>
    <t>10"-V42-17B-0401-E1(GAZ)-IQ102</t>
  </si>
  <si>
    <t>18"-V42-83-0606-E1(GAZ)-IQ140</t>
  </si>
  <si>
    <t>18"-V42-83-0601-E1(GAZ)-IQ140</t>
  </si>
  <si>
    <t>10"-V42-83-0602-E1(GAZ)-IQ102</t>
  </si>
  <si>
    <t>21</t>
  </si>
  <si>
    <t>8"-MS-17D-000003-BB-IQ63</t>
  </si>
  <si>
    <t>17D</t>
  </si>
  <si>
    <t>8"-MS-51-3258-BB-IQ63</t>
  </si>
  <si>
    <t>8"-MS-51-3257-BB-IQ63</t>
  </si>
  <si>
    <t>8"-V12-17B-0404-Co-IQ63</t>
  </si>
  <si>
    <t>6"-V12-83-0607-Co-IQ63</t>
  </si>
  <si>
    <t>3"-V12-83-0613-Co-IQ63</t>
  </si>
  <si>
    <t>18"</t>
  </si>
  <si>
    <t>14"</t>
  </si>
  <si>
    <t>10"</t>
  </si>
  <si>
    <t>PÁGINA 1/6</t>
  </si>
  <si>
    <t>FORMULÁRIO</t>
  </si>
  <si>
    <t>SEM ISOLAMENTO</t>
  </si>
  <si>
    <t>COM ISOLAMENTO</t>
  </si>
  <si>
    <t>COMPRIMENTO TOTAL (m)</t>
  </si>
  <si>
    <t>ÁREA TOTAL (m²)</t>
  </si>
  <si>
    <t>220° C - MS</t>
  </si>
  <si>
    <t>400° C - SS</t>
  </si>
  <si>
    <t>POR M² (W/m²)</t>
  </si>
  <si>
    <t>DIMENSÕES</t>
  </si>
  <si>
    <t>DIÂMETROS LINHAS</t>
  </si>
  <si>
    <t>%</t>
  </si>
  <si>
    <t>ESTIMATIVA</t>
  </si>
  <si>
    <t>VALOR FINAL (R$)</t>
  </si>
  <si>
    <t>REGISTRO FOTOGRÁFICO DA CAFOR</t>
  </si>
  <si>
    <t>FOTOGRAFOU-SE AS TAG'S PARA IDENTIFICAÇÃO E EM SEGUIDA AS LINHAS PROPRIAMENTE DITAS.</t>
  </si>
  <si>
    <t>FOTO 1 - TAG</t>
  </si>
  <si>
    <t>FOTO 2 - LINHA</t>
  </si>
  <si>
    <t>FOTO 3 - LINHA</t>
  </si>
  <si>
    <t>FOTO 4 - LINHA</t>
  </si>
  <si>
    <t>FOTO 5 - TAG</t>
  </si>
  <si>
    <t>FOTO 6 - LINHA</t>
  </si>
  <si>
    <t xml:space="preserve">  </t>
  </si>
  <si>
    <t>PÁGINA 2/6</t>
  </si>
  <si>
    <t>FOTO 7 - LINHA</t>
  </si>
  <si>
    <t>FOTO 8 - TAG COM LINHA</t>
  </si>
  <si>
    <t>FOTO 9 - TAG</t>
  </si>
  <si>
    <t>FOTO 10 - LINHA</t>
  </si>
  <si>
    <t>FOTO 11 - TAG</t>
  </si>
  <si>
    <t>FOTO 12 - LINHA</t>
  </si>
  <si>
    <t>PÁGINA 3/6</t>
  </si>
  <si>
    <t>FOTO 13 - TAG</t>
  </si>
  <si>
    <t>FOTO 14 - LINHA</t>
  </si>
  <si>
    <t>FOTO 15 - TAG</t>
  </si>
  <si>
    <t>FOTO 16 - LINHA</t>
  </si>
  <si>
    <t>FOTO 17 - TAG'S</t>
  </si>
  <si>
    <t>FOTO 18 - LINHA</t>
  </si>
  <si>
    <t>PÁGINA 4/6</t>
  </si>
  <si>
    <t>FOTO 19 - TAG</t>
  </si>
  <si>
    <t>FOTO 20 - LINHA</t>
  </si>
  <si>
    <t>FOTO 21 - TAG</t>
  </si>
  <si>
    <t>FOTO 22 - LINHA</t>
  </si>
  <si>
    <t>FOTO 23 - LINHA</t>
  </si>
  <si>
    <t>FOTO 24 - LINHA</t>
  </si>
  <si>
    <t>PÁGINA 5/6</t>
  </si>
  <si>
    <t>FOTO 25 - TAG</t>
  </si>
  <si>
    <t>FOTO 26 - LINHA</t>
  </si>
  <si>
    <t>FOTO 27 - LINHA</t>
  </si>
  <si>
    <t>FOTO 28 - TAG</t>
  </si>
  <si>
    <t>FOTO 29 - LINHA</t>
  </si>
  <si>
    <t>FOTO 30 - LINHA</t>
  </si>
  <si>
    <t>PÁGINA 6/6</t>
  </si>
  <si>
    <t>FOTO 31 - TAG</t>
  </si>
  <si>
    <t>FOTO 32 - LINHA</t>
  </si>
  <si>
    <t>FOTO 33 - LINHA COM TAG</t>
  </si>
  <si>
    <t>FOTO 34 - LINHA COM TAG</t>
  </si>
  <si>
    <t>AS - Autorização de Serviço</t>
  </si>
  <si>
    <t>AS</t>
  </si>
  <si>
    <t>DATA DE EMISSÃO</t>
  </si>
  <si>
    <t>CONTRATADA:</t>
  </si>
  <si>
    <t>Risoterm Isolantes Térmicos Ltda</t>
  </si>
  <si>
    <t>CONTRATO</t>
  </si>
  <si>
    <t>CNPJ:</t>
  </si>
  <si>
    <t>EMAIL:</t>
  </si>
  <si>
    <t>wilian@risoterm.com.br</t>
  </si>
  <si>
    <t>CONTATO:</t>
  </si>
  <si>
    <t>Wilian Fernandes / Raimundo Gargur</t>
  </si>
  <si>
    <t>FONE:</t>
  </si>
  <si>
    <t>DESCRIÇÃO DO SERVIÇO:</t>
  </si>
  <si>
    <t>Item</t>
  </si>
  <si>
    <t>Linha</t>
  </si>
  <si>
    <t>Descrição</t>
  </si>
  <si>
    <t>Un</t>
  </si>
  <si>
    <t>Quant.</t>
  </si>
  <si>
    <t>Valor Unit./Fator</t>
  </si>
  <si>
    <t xml:space="preserve">Total </t>
  </si>
  <si>
    <t>1.1</t>
  </si>
  <si>
    <t>NA</t>
  </si>
  <si>
    <t>5</t>
  </si>
  <si>
    <t>7</t>
  </si>
  <si>
    <t>9</t>
  </si>
  <si>
    <t>10</t>
  </si>
  <si>
    <t>11</t>
  </si>
  <si>
    <t>12</t>
  </si>
  <si>
    <t>22</t>
  </si>
  <si>
    <t>OBSERVAÇÕES</t>
  </si>
  <si>
    <t>TOTAL DA "AS"</t>
  </si>
  <si>
    <t xml:space="preserve">  N°  </t>
  </si>
  <si>
    <t>APROVAÇÃO DA A.S</t>
  </si>
  <si>
    <t>ASS.:</t>
  </si>
  <si>
    <t>EMPRESA</t>
  </si>
  <si>
    <t>SOLICITANTE</t>
  </si>
  <si>
    <t>APROVADOR ACELEN</t>
  </si>
  <si>
    <t>Data: _____/_____/_____</t>
  </si>
  <si>
    <t>ESTIMATIVA PARA RECUPERAÇÃO DE ISOLAMENTO - CAFOR (U-51, U-83, U-17).</t>
  </si>
  <si>
    <t>PERÍMETRO</t>
  </si>
  <si>
    <t>(M)</t>
  </si>
  <si>
    <t>COMPRIMENTO TOTAL</t>
  </si>
  <si>
    <t>ECONOMIA</t>
  </si>
  <si>
    <t>RECUPERAÇÃO DE ISOLAMENTO EM MANTA DE FIBRA CERÂMICA THERMOFELT</t>
  </si>
  <si>
    <t>PARA GERAÇÃO DESTA A.S. FORAM CONSIDERADAS AS LINHAS DA CAFOR DA U-51 CUJO LEVANTAMENTO FOI FEITO COM O AUXÍLIO DOS ISOMÉTRICOS CEDIDOS PELA ACELEN. O LEVANTAMENTO DAS DEMAIS UNIDADES FICOU INVIABILIZADO PELA FALTA DESSES PROJETOS.</t>
  </si>
  <si>
    <t>Assinatura Responsável - Risoterm</t>
  </si>
  <si>
    <t>ANDAIME / PINTURA</t>
  </si>
  <si>
    <t>APOIOS NECESSÁRIOS:</t>
  </si>
  <si>
    <t>TREINAMENTOS BÁSICOS DE SEGURANÇA</t>
  </si>
  <si>
    <t>REVESTIMENTO 01: CHAPA AL 0,8 e 1,0 mm</t>
  </si>
  <si>
    <t>NR-20 (LÍQUIDOS INFLAMÁVEIS)</t>
  </si>
  <si>
    <t>IT-I-05 (Rev.01) Remoção e Acond. do Isol. Térm.</t>
  </si>
  <si>
    <t>NR-35 (TRABALHO EM ALTURA)</t>
  </si>
  <si>
    <t>NR-33 (ESPAÇO CONFINADO)</t>
  </si>
  <si>
    <t>IT-I-01 (Rev.10) 	Fabricação de Chapas de Proteção</t>
  </si>
  <si>
    <t>REQUISITOS DE SSMA</t>
  </si>
  <si>
    <t xml:space="preserve">DADOS DE MATERIAIS </t>
  </si>
  <si>
    <t>NORMAS / PROCEDIMENTOS APLICÁVEIS</t>
  </si>
  <si>
    <t>QTD HORAS TOTAIS</t>
  </si>
  <si>
    <t>QTD DIAS TOTAIS</t>
  </si>
  <si>
    <t xml:space="preserve"> </t>
  </si>
  <si>
    <t>ÍNDICE DE PRODUTIVIDADE: m²/hh</t>
  </si>
  <si>
    <t>EFETIVO MÉDIO</t>
  </si>
  <si>
    <t>FIM PREVISTO</t>
  </si>
  <si>
    <t>INÍCIO PREVISTO:</t>
  </si>
  <si>
    <t>QTD (m²):</t>
  </si>
  <si>
    <t>LOCAL:</t>
  </si>
  <si>
    <t>PLANTA:</t>
  </si>
  <si>
    <t>VALOR GLOBAL:</t>
  </si>
  <si>
    <t>N. ORC</t>
  </si>
  <si>
    <t>DATA:</t>
  </si>
  <si>
    <t>CONTRATO:</t>
  </si>
  <si>
    <t>NOME DE BATISMO:</t>
  </si>
  <si>
    <t>ESCOPO DO SERVIÇO:</t>
  </si>
  <si>
    <t>ESTIMATIVA PARA RECUPERAÇÃO DE ISOLAMENTO - CAFOR (U-51).</t>
  </si>
  <si>
    <t>CAFOR</t>
  </si>
  <si>
    <t>RESUMO DA ESTIMATIVA DE CUSTO</t>
  </si>
  <si>
    <t>RESPONSÁVEL ACELEN:</t>
  </si>
  <si>
    <t>Rogerio Bonfim</t>
  </si>
  <si>
    <t>CAFOR (U-51)</t>
  </si>
  <si>
    <t>ACELEN</t>
  </si>
  <si>
    <t>IT-I-02 (Rev.13) Aplicação de Isolamento Térmico a Alta Temperatura e Equipamento</t>
  </si>
  <si>
    <t>ISOLANTE: MANTA DE FIBRA CERÂMICA</t>
  </si>
  <si>
    <t>ÁREA ESTIMADA (m²)</t>
  </si>
  <si>
    <t>PERDA ENERGÉTICA P/ m²</t>
  </si>
  <si>
    <t>PERDA ENERGÉTICA ESTIMADA</t>
  </si>
  <si>
    <t>ESTUDO PERDA ENERGÉTICA</t>
  </si>
  <si>
    <t>018/23</t>
  </si>
  <si>
    <t xml:space="preserve"> Assinatura RMT / Eng. Responsável Acelen</t>
  </si>
  <si>
    <t>PREÇO REMOC.</t>
  </si>
  <si>
    <t>SUBTOTAL. RECOMPOSIÇAO</t>
  </si>
  <si>
    <t>M3</t>
  </si>
  <si>
    <t>REMOÇÃO DE ISOLAMENTO RÍGIDO EM TUB ULAÇÕES / EQUIPAMENTOS</t>
  </si>
  <si>
    <t>QUANTIDADE ESTIMADA (20%)</t>
  </si>
  <si>
    <t>PREÇO REMOÇÃO ÁREA ESTIMADA (20%)</t>
  </si>
  <si>
    <t>PREÇO RECOMPOSIÇAO ÁREA ESTIMADA (20%)</t>
  </si>
  <si>
    <t>TOTAL : R$</t>
  </si>
  <si>
    <t>Estimativa linhas  U 83</t>
  </si>
  <si>
    <t>17 D</t>
  </si>
  <si>
    <t>Estimativa linhas U 17 D</t>
  </si>
  <si>
    <t>SERVIÇO DE ISOLAMENTO TÉRMICO HOMEM HORA - 
NAS LINHAS DA ÁREA 328</t>
  </si>
  <si>
    <t>SQ</t>
  </si>
  <si>
    <t>MATERIAL</t>
  </si>
  <si>
    <t>TIPO</t>
  </si>
  <si>
    <t>MOD.</t>
  </si>
  <si>
    <t xml:space="preserve">M² </t>
  </si>
  <si>
    <t>M² REALIZADO</t>
  </si>
  <si>
    <t>M² PENDENTE</t>
  </si>
  <si>
    <t>AVANÇO</t>
  </si>
  <si>
    <t>ORÇAMENTO</t>
  </si>
  <si>
    <t>FATURADO</t>
  </si>
  <si>
    <t xml:space="preserve">SALDO </t>
  </si>
  <si>
    <t>COMENTÁRIOS</t>
  </si>
  <si>
    <t>ATIVIDADE</t>
  </si>
  <si>
    <t>FUNÇÃO</t>
  </si>
  <si>
    <t>DIAS</t>
  </si>
  <si>
    <t>HH TOTAL</t>
  </si>
  <si>
    <t>R$ / HH</t>
  </si>
  <si>
    <t>FATOR</t>
  </si>
  <si>
    <t>VALOR TOTAL</t>
  </si>
  <si>
    <t>LINHAS DA ÁREA 328</t>
  </si>
  <si>
    <t>TUBU..</t>
  </si>
  <si>
    <t>FUN</t>
  </si>
  <si>
    <t>REC. ISOL. TERM</t>
  </si>
  <si>
    <t>FUNILEIRO</t>
  </si>
  <si>
    <t>ISO</t>
  </si>
  <si>
    <t>ISOLADOR</t>
  </si>
  <si>
    <t>ISOL / FUNI</t>
  </si>
  <si>
    <t>PREV.</t>
  </si>
  <si>
    <t>MOD</t>
  </si>
  <si>
    <t>SUPERVISÃO</t>
  </si>
  <si>
    <t>SERVIÇO TÉCNICO DE SUPERVISÃO</t>
  </si>
  <si>
    <t>ENCARREGADO</t>
  </si>
  <si>
    <t>SERVIÇO TÉCNICO DE ENCARREGAMENTO</t>
  </si>
  <si>
    <t>TÉC. SEG</t>
  </si>
  <si>
    <t>SERVIÇO TÉCNICO DE SEGURANÇA</t>
  </si>
  <si>
    <t>MOI</t>
  </si>
  <si>
    <t>INDÍCE PROD.</t>
  </si>
  <si>
    <t>SUBTOTAL MÃO-DE-OBRA</t>
  </si>
  <si>
    <t>SUBTOTAL MATERIAL</t>
  </si>
  <si>
    <t>DESPESASM REEMBOLSÁVEIS</t>
  </si>
  <si>
    <t>PREV. ACUM</t>
  </si>
  <si>
    <t>REAL</t>
  </si>
  <si>
    <t>REAL ACUM.</t>
  </si>
  <si>
    <t>TOTAL GERAL</t>
  </si>
  <si>
    <t>SEM 01</t>
  </si>
  <si>
    <t>SEM 02</t>
  </si>
  <si>
    <t>SEM 03</t>
  </si>
  <si>
    <t>SEM 04</t>
  </si>
  <si>
    <t>SEM 05</t>
  </si>
  <si>
    <t>SEM 06</t>
  </si>
  <si>
    <t>SEM 07</t>
  </si>
  <si>
    <t>SEM 08</t>
  </si>
  <si>
    <t>SEM 09</t>
  </si>
  <si>
    <t>SEM 10</t>
  </si>
  <si>
    <t>SEM 11</t>
  </si>
  <si>
    <t>SEM 12</t>
  </si>
  <si>
    <t>SEM 13</t>
  </si>
  <si>
    <t>MARCO</t>
  </si>
  <si>
    <t>TOTAL ORÇADO</t>
  </si>
  <si>
    <t>EXECUTADO</t>
  </si>
  <si>
    <t>PÊNDENTE</t>
  </si>
  <si>
    <t>COM ISOLAMENTO - INSULFRAX WR 96</t>
  </si>
  <si>
    <t>FATOR ECON</t>
  </si>
  <si>
    <t>PROD. MÉDIA</t>
  </si>
  <si>
    <t>EXECUÇÃO (meses)</t>
  </si>
  <si>
    <t>Vapor MS (220 C)</t>
  </si>
  <si>
    <t>EFETIVO</t>
  </si>
  <si>
    <t>D</t>
  </si>
  <si>
    <t>Q (kcal/((h*m²))</t>
  </si>
  <si>
    <t>A (m²)</t>
  </si>
  <si>
    <t>Em (kcal/h)</t>
  </si>
  <si>
    <t>PCI (kcal/kg)</t>
  </si>
  <si>
    <t>mC (kg/h)</t>
  </si>
  <si>
    <t>rho (kg/m³)</t>
  </si>
  <si>
    <t>VC (m³/h)</t>
  </si>
  <si>
    <t>VC  (m³/ano)</t>
  </si>
  <si>
    <t>Preço (R$/m³)</t>
  </si>
  <si>
    <t>Impacto (R$/ano)</t>
  </si>
  <si>
    <t>3"</t>
  </si>
  <si>
    <t>6"</t>
  </si>
  <si>
    <t>12"</t>
  </si>
  <si>
    <t>MÊS</t>
  </si>
  <si>
    <t>MÊS 01</t>
  </si>
  <si>
    <t>MÊS 02</t>
  </si>
  <si>
    <t>MÊS 03</t>
  </si>
  <si>
    <t>MÊS 04</t>
  </si>
  <si>
    <t>MÊS 05</t>
  </si>
  <si>
    <t>MÊS 06</t>
  </si>
  <si>
    <t>efetivo</t>
  </si>
  <si>
    <t>16"</t>
  </si>
  <si>
    <t>Prev.</t>
  </si>
  <si>
    <t>área total</t>
  </si>
  <si>
    <t>ajuste</t>
  </si>
  <si>
    <t>Prev. Acum</t>
  </si>
  <si>
    <t>20"</t>
  </si>
  <si>
    <t>Desembolso mês</t>
  </si>
  <si>
    <t>Desembolso acum</t>
  </si>
  <si>
    <t>valor médio m²</t>
  </si>
  <si>
    <t>Vapor SS (400 C)</t>
  </si>
  <si>
    <t>Custo sem Isol/mês</t>
  </si>
  <si>
    <t>8"</t>
  </si>
  <si>
    <t>RESUMO MS</t>
  </si>
  <si>
    <t>DIAM</t>
  </si>
  <si>
    <t>PERDA (Kcal/h*m²) - sem isol</t>
  </si>
  <si>
    <r>
      <t>R$ PERDIDO (</t>
    </r>
    <r>
      <rPr>
        <b/>
        <sz val="10"/>
        <color rgb="FFFF0000"/>
        <rFont val="Calibri"/>
        <family val="2"/>
        <scheme val="minor"/>
      </rPr>
      <t>ano</t>
    </r>
    <r>
      <rPr>
        <b/>
        <sz val="10"/>
        <color theme="1"/>
        <rFont val="Calibri"/>
        <family val="2"/>
        <scheme val="minor"/>
      </rPr>
      <t>)</t>
    </r>
  </si>
  <si>
    <r>
      <t>R$ PERDIDO (</t>
    </r>
    <r>
      <rPr>
        <b/>
        <sz val="10"/>
        <color rgb="FFFF0000"/>
        <rFont val="Calibri"/>
        <family val="2"/>
        <scheme val="minor"/>
      </rPr>
      <t>mês</t>
    </r>
    <r>
      <rPr>
        <b/>
        <sz val="10"/>
        <color theme="1"/>
        <rFont val="Calibri"/>
        <family val="2"/>
        <scheme val="minor"/>
      </rPr>
      <t>)</t>
    </r>
  </si>
  <si>
    <t>PERDA (Kcal/h*m²) - com isol</t>
  </si>
  <si>
    <t>ECONOMIA ENERGIA (ano)</t>
  </si>
  <si>
    <t>ECONOMIA ENERGIA (mês)</t>
  </si>
  <si>
    <t>TOTAL</t>
  </si>
  <si>
    <t>RESUMO SS</t>
  </si>
  <si>
    <t>fator área</t>
  </si>
  <si>
    <r>
      <rPr>
        <b/>
        <sz val="18"/>
        <color theme="1"/>
        <rFont val="Calibri"/>
        <family val="2"/>
        <scheme val="minor"/>
      </rPr>
      <t>220 °C</t>
    </r>
    <r>
      <rPr>
        <b/>
        <sz val="11"/>
        <color theme="1"/>
        <rFont val="Calibri"/>
        <family val="2"/>
        <scheme val="minor"/>
      </rPr>
      <t xml:space="preserve">   </t>
    </r>
    <r>
      <rPr>
        <b/>
        <sz val="18"/>
        <color theme="1"/>
        <rFont val="Calibri"/>
        <family val="2"/>
        <scheme val="minor"/>
      </rPr>
      <t>- 75 mm</t>
    </r>
    <r>
      <rPr>
        <b/>
        <sz val="11"/>
        <color theme="1"/>
        <rFont val="Calibri"/>
        <family val="2"/>
        <scheme val="minor"/>
      </rPr>
      <t xml:space="preserve"> - </t>
    </r>
    <r>
      <rPr>
        <b/>
        <sz val="16"/>
        <color rgb="FFFF0000"/>
        <rFont val="Calibri"/>
        <family val="2"/>
        <scheme val="minor"/>
      </rPr>
      <t>MS</t>
    </r>
  </si>
  <si>
    <t>Diâmetro</t>
  </si>
  <si>
    <t>3''</t>
  </si>
  <si>
    <t>6''</t>
  </si>
  <si>
    <t>10''</t>
  </si>
  <si>
    <t>12''</t>
  </si>
  <si>
    <t>14''</t>
  </si>
  <si>
    <t>18''</t>
  </si>
  <si>
    <t>Heat loss (W/m²)</t>
  </si>
  <si>
    <t>Heat loss (Kcal/h*m²)</t>
  </si>
  <si>
    <t>Cold face (°C)</t>
  </si>
  <si>
    <t>10 mm Steel</t>
  </si>
  <si>
    <t>Silicato de Cálcio</t>
  </si>
  <si>
    <t xml:space="preserve">INSULFRAX WR 128 </t>
  </si>
  <si>
    <t xml:space="preserve">INSULFRAX WR 96 </t>
  </si>
  <si>
    <r>
      <rPr>
        <b/>
        <sz val="18"/>
        <color theme="1"/>
        <rFont val="Calibri"/>
        <family val="2"/>
        <scheme val="minor"/>
      </rPr>
      <t>400 °C</t>
    </r>
    <r>
      <rPr>
        <b/>
        <sz val="11"/>
        <color theme="1"/>
        <rFont val="Calibri"/>
        <family val="2"/>
        <scheme val="minor"/>
      </rPr>
      <t xml:space="preserve"> </t>
    </r>
    <r>
      <rPr>
        <b/>
        <sz val="18"/>
        <color theme="1"/>
        <rFont val="Calibri"/>
        <family val="2"/>
        <scheme val="minor"/>
      </rPr>
      <t xml:space="preserve"> - 100 mm</t>
    </r>
    <r>
      <rPr>
        <b/>
        <sz val="16"/>
        <color rgb="FFFF0000"/>
        <rFont val="Calibri"/>
        <family val="2"/>
        <scheme val="minor"/>
      </rPr>
      <t xml:space="preserve"> - SS</t>
    </r>
  </si>
  <si>
    <t>8''</t>
  </si>
  <si>
    <t>INSULFRAX WR 128</t>
  </si>
  <si>
    <t>M³</t>
  </si>
  <si>
    <t>DIÂM. - TUBO</t>
  </si>
  <si>
    <t>ESP. ISOL. (mm)</t>
  </si>
  <si>
    <t>COMPRIMENTO TOTAL(M)</t>
  </si>
  <si>
    <t>DIÂM. X ESP.</t>
  </si>
  <si>
    <t>PERÍMETRO (M)</t>
  </si>
  <si>
    <t>ÁREA  (M²)</t>
  </si>
  <si>
    <t>REMOÇÃO (R$)</t>
  </si>
  <si>
    <t>APLICAÇÃO (R$)</t>
  </si>
  <si>
    <t>ÁREA / VOLUME</t>
  </si>
  <si>
    <t>VALORES</t>
  </si>
  <si>
    <t>PREÇO APLICAÇÃO</t>
  </si>
  <si>
    <t>SERVIÇO</t>
  </si>
  <si>
    <t>REMOÇÃO</t>
  </si>
  <si>
    <t>RECOMPOSIÇÃO</t>
  </si>
  <si>
    <t>Preço unitário</t>
  </si>
  <si>
    <t>UND</t>
  </si>
  <si>
    <t>MOB E DESMOB ≤ 10 COLAB. (REV. REFRAT.)</t>
  </si>
  <si>
    <t>HH</t>
  </si>
  <si>
    <t>MOB E DESMOB ≤ 10 COLAB. (ISOL. TÉRM)</t>
  </si>
  <si>
    <t>REM. ISOLANTE TÉRM. FLEX. TUBOS/EQP.</t>
  </si>
  <si>
    <t>INST. ISOL TÉRM. FLEX. TUB (DENS 64-96)</t>
  </si>
  <si>
    <t>INST. ISOL TÉRM. FLEX. EQTO (DENS 64-96)</t>
  </si>
  <si>
    <t>REM.ISOLANTE TÉRMICO RÍGIDO EM TUBO/EQTO</t>
  </si>
  <si>
    <t>INST. ISOLANTE TÉRM. RÍGIDO EM TUBULAÇÃO</t>
  </si>
  <si>
    <t>INST. ISOLANTE TÉRM. RÍGIDO EM EQUIPAM.</t>
  </si>
  <si>
    <t>INST. ISOLANTE TÉRM. À FRIO PRÉ-MOL TUB</t>
  </si>
  <si>
    <t>INST. ISOLANTE TÉRM. À FRIO PRÉ-MOL EQTO</t>
  </si>
  <si>
    <t>INST. ISOL. TÉRM. À FRIO INJETADO-TUBUL.</t>
  </si>
  <si>
    <t>APLIC. MASSA ANTICORR_MAT_FORN_CONTRAT</t>
  </si>
  <si>
    <t>Kg</t>
  </si>
  <si>
    <t>APLIC. TIJ REFR. ISOLANTE FORN. CONTRAT.</t>
  </si>
  <si>
    <t>APLIC. TIJ ISOL (COM MATERIAIS) CONTRAT.</t>
  </si>
  <si>
    <t>APLIC. TIJ REFR. FORNEC. CONTRATADA</t>
  </si>
  <si>
    <t>APLIC. TIJ REFR. (C/MAT) FORN. CONTRAT.</t>
  </si>
  <si>
    <t>DEM. CONCR. REFR.(DENSO REG_CLASSE A/B)</t>
  </si>
  <si>
    <t>APLIC. CONCR. REFR. DENSO REG CL A_C/MAT</t>
  </si>
  <si>
    <t>APLIC. CONCR. REFR. DENSO REG CL B_C/MAT</t>
  </si>
  <si>
    <t>APLIC. CONCR. REFR. SEMI-ISOL. FORN. MAT</t>
  </si>
  <si>
    <t>AP. CONCR. REF. ISOL. A/B FORN. MAT_DERR</t>
  </si>
  <si>
    <t>APL. CONCR_REF_ISOL_SEMI_PROJ. PNEUMAT</t>
  </si>
  <si>
    <t>APL. REV_PROT_CONTRA_FOGO_FORN_MAT_CONTR</t>
  </si>
  <si>
    <t>DEMOLIÇÃO DE MÓDULOS DE FIBRA CERÂMICA</t>
  </si>
  <si>
    <t>INST. MÓDULOS_FIBRA_CERÂM_FORN. MAT_CONT</t>
  </si>
  <si>
    <t>SUPERVISÃO (PRÉ/PARADA/PÓS PARADA)</t>
  </si>
  <si>
    <t>ENCARREGADO  (PRÉ/PARADA/PÓS PARADA)</t>
  </si>
  <si>
    <t>TÉC. SEGURANÇA (PRÉ/PARADA/PÓS PARADA)</t>
  </si>
  <si>
    <t>REFRATARISTA (PRÉ/PARADA/PÓS PARADA)</t>
  </si>
  <si>
    <t>ISOLADOR (PRÉ/PARADA/PÓS PARADA)</t>
  </si>
  <si>
    <t>OBSERV_SEGURANÇA (PRÉ/PARADA/PÓS PARADA)</t>
  </si>
  <si>
    <t>SUPERVISÃO (à disposição)</t>
  </si>
  <si>
    <t>ENCARREGADO (à disposição)</t>
  </si>
  <si>
    <t>TÉCNICO DE SEGURANÇA (à disposição)</t>
  </si>
  <si>
    <t>ISOLADOR (à disposição)</t>
  </si>
  <si>
    <t>REFRATARISTA (à disposição)</t>
  </si>
  <si>
    <t>OBSERVADOR DE SEGURANÇA (à disposição)</t>
  </si>
  <si>
    <t>Ser. Seg_Sex após 17:18h (1ªs._2h)</t>
  </si>
  <si>
    <t>Serviços Domingos, Feriados e Folgas</t>
  </si>
  <si>
    <t>Serviços realizados entre 22:00 e 05:00</t>
  </si>
  <si>
    <t>INST. ISOL. TÉRM. À FRIO INJETADO-EQTO</t>
  </si>
  <si>
    <t>FUNILEIRO (à disposição)</t>
  </si>
  <si>
    <t>Ser. Seg_Sex após 17:18h(depois 1ªs._2h)</t>
  </si>
  <si>
    <t>Serviços aos Sábados</t>
  </si>
  <si>
    <t>SC</t>
  </si>
  <si>
    <t>FC</t>
  </si>
  <si>
    <t>PIR</t>
  </si>
  <si>
    <t>PU</t>
  </si>
  <si>
    <t>INFORMAÇÕES</t>
  </si>
  <si>
    <t>0,5 X 25</t>
  </si>
  <si>
    <t>0,5 X 38</t>
  </si>
  <si>
    <t>0,5 X 50</t>
  </si>
  <si>
    <t>0,5 X 63</t>
  </si>
  <si>
    <t>0,5 X 75</t>
  </si>
  <si>
    <t>0,5 X 83</t>
  </si>
  <si>
    <t>0,5 X 100</t>
  </si>
  <si>
    <t>0,5 X 115</t>
  </si>
  <si>
    <t>0,5 X 125</t>
  </si>
  <si>
    <t>1,5 X 25</t>
  </si>
  <si>
    <t>1,5 X 38</t>
  </si>
  <si>
    <t>1,5 X 50</t>
  </si>
  <si>
    <t>1,5 X 63</t>
  </si>
  <si>
    <t>1,5 X 75</t>
  </si>
  <si>
    <t>1,5 X 83</t>
  </si>
  <si>
    <t>1,5 X 100</t>
  </si>
  <si>
    <t>1,5 X 115</t>
  </si>
  <si>
    <t>1,5 X 125</t>
  </si>
  <si>
    <t>2,5 X 50</t>
  </si>
  <si>
    <t>S</t>
  </si>
  <si>
    <t>AS:</t>
  </si>
  <si>
    <t>UNIDADE:</t>
  </si>
  <si>
    <t>APLICAÇÃO</t>
  </si>
  <si>
    <t>m²</t>
  </si>
  <si>
    <t>APLICAÇÃO ISOLAMENTO EQUIPAMENTO</t>
  </si>
  <si>
    <t>APLICAÇÃO ISOLAMENTO TUBULAÇÃO</t>
  </si>
  <si>
    <t>REMOÇÃO REFRATÁRIO</t>
  </si>
  <si>
    <t>APLICAÇÃO REFRATÁRIO</t>
  </si>
  <si>
    <t>REMOÇÃO  TUBULAÇÃO/EQUIPAMENTO</t>
  </si>
  <si>
    <t>0,75 X 25</t>
  </si>
  <si>
    <t>0,75 X 38</t>
  </si>
  <si>
    <t>0,75 X 50</t>
  </si>
  <si>
    <t>0,75 X 63</t>
  </si>
  <si>
    <t>0,75 X 75</t>
  </si>
  <si>
    <t>0,75 X 83</t>
  </si>
  <si>
    <t>TUBULAÇÃO</t>
  </si>
  <si>
    <t>DESNIDADE</t>
  </si>
  <si>
    <t>DEMOLIÇÃO, REM E BOTA-FORA DE TIJ_ISOL</t>
  </si>
  <si>
    <t>DEM. REV_PROT_CONTRA_FOGO FIREPROOFING</t>
  </si>
  <si>
    <t>TIPO DE HORAS</t>
  </si>
  <si>
    <t>ROTINA</t>
  </si>
  <si>
    <t>PRÉ/PARADA/PÓS PARADA</t>
  </si>
  <si>
    <t>FATOR EXTRA</t>
  </si>
  <si>
    <t>Hora Normal</t>
  </si>
  <si>
    <t>VALOR</t>
  </si>
  <si>
    <t>CNPJ</t>
  </si>
  <si>
    <t>NUMERO DA AS</t>
  </si>
  <si>
    <t>REVISÃO DA AS</t>
  </si>
  <si>
    <t>NOME DO PROJETO</t>
  </si>
  <si>
    <t>DESCRIÇÃO DO SERVIÇO</t>
  </si>
  <si>
    <t>DISCIPLINA</t>
  </si>
  <si>
    <t>ISOLAMENTO</t>
  </si>
  <si>
    <t>MANUTENÇÃO</t>
  </si>
  <si>
    <t>DATA LEVANTAMENTO</t>
  </si>
  <si>
    <t>REFERÊNCIA CAMPO</t>
  </si>
  <si>
    <t xml:space="preserve">OBSERVAÇÃO </t>
  </si>
  <si>
    <t>REFRATÁRIO</t>
  </si>
  <si>
    <t>RESPONSAVÉL ACELEN</t>
  </si>
  <si>
    <t>ORDEM/ZR/PEP</t>
  </si>
  <si>
    <t>RESPONSAVÉL:</t>
  </si>
  <si>
    <t>DEPERTAMENTO SOLICITANTE</t>
  </si>
  <si>
    <t>ENGENHARIA</t>
  </si>
  <si>
    <t>Serviço</t>
  </si>
  <si>
    <t>REMOÇÃO APLICAÇÃO E MATERIAL</t>
  </si>
  <si>
    <t>RODRIGO</t>
  </si>
  <si>
    <t>ARMAFLEX</t>
  </si>
  <si>
    <t>INST. ISOL. TÉRM. À FRIO ARMAFLEX-TUBUL. ESP. 25MM</t>
  </si>
  <si>
    <t>VALOR HN</t>
  </si>
  <si>
    <t>informar proporção</t>
  </si>
  <si>
    <t>FINILEIRO</t>
  </si>
  <si>
    <r>
      <t xml:space="preserve">ESTIMATIVA DE CUSTO SERVIÇO DE ISOLAMENTO TÉRMICO </t>
    </r>
    <r>
      <rPr>
        <b/>
        <sz val="20"/>
        <color rgb="FFFF0000"/>
        <rFont val="Calibri"/>
        <family val="2"/>
        <scheme val="minor"/>
      </rPr>
      <t>(HORA NORMAL)</t>
    </r>
  </si>
  <si>
    <t>FATOR AJUSTE</t>
  </si>
  <si>
    <t>Modalidade</t>
  </si>
  <si>
    <t>INDÍCE</t>
  </si>
  <si>
    <t>DFP MATERIAL</t>
  </si>
  <si>
    <t>VALOR MERCADO</t>
  </si>
  <si>
    <t>Rebite 4mm</t>
  </si>
  <si>
    <t>unidade</t>
  </si>
  <si>
    <t>ARAME inox</t>
  </si>
  <si>
    <t>kg</t>
  </si>
  <si>
    <t xml:space="preserve">ALUMÍNIO 0,7mm </t>
  </si>
  <si>
    <t>/ m²</t>
  </si>
  <si>
    <t>ALUMÍNIO 1,0 mm</t>
  </si>
  <si>
    <t>SELO DE INOX 1/2"</t>
  </si>
  <si>
    <t>Cinta 1/2 inox</t>
  </si>
  <si>
    <t>/ m</t>
  </si>
  <si>
    <t xml:space="preserve">INOX 304 0,5 mm </t>
  </si>
  <si>
    <t>ADESIVO ARMAFLEX 520 S 0,9 L</t>
  </si>
  <si>
    <t>ML</t>
  </si>
  <si>
    <t>BROCA A.R. IRWIN/DORMER de 4,0 mm</t>
  </si>
  <si>
    <t>SILICONE - BISNAGA</t>
  </si>
  <si>
    <t>LÃ DE ROCHA MIT-64 - 50mm</t>
  </si>
  <si>
    <t>ARMAFLEX 25MM</t>
  </si>
  <si>
    <t>THERMOFELT 96kg/m³ - 2"</t>
  </si>
  <si>
    <t>4,5 M² / PCT</t>
  </si>
  <si>
    <t>ISOTUBO® 1/2" 914 X 025 mm</t>
  </si>
  <si>
    <t>m</t>
  </si>
  <si>
    <t>ISOTUBO® 1" 914 X 025 mm</t>
  </si>
  <si>
    <t>ISOTUBO® 11½" 914 X 040 mm</t>
  </si>
  <si>
    <t>ISOTUBO® 10" 914 X 25 mm</t>
  </si>
  <si>
    <t>ISOTUBO® 1 ½" 914 X 040 mm</t>
  </si>
  <si>
    <t>ISOTUBO® 10" 914 X 050 mm</t>
  </si>
  <si>
    <t>ISOTUBO® 12" 914 X 040 mm</t>
  </si>
  <si>
    <t>ISOTUBO® 2" 914 X 025 mm</t>
  </si>
  <si>
    <t>ISOTUBO® 2" 914 X 040 mm</t>
  </si>
  <si>
    <t>ISOTUBO® 21½" 914 X 025 mm</t>
  </si>
  <si>
    <t>ISOTUBO® 21½" 914 X 040 mm</t>
  </si>
  <si>
    <t>ISOTUBO® 3" 914 X 025 mm</t>
  </si>
  <si>
    <t>ISOTUBO® 2 ½" 914 X 025 mm</t>
  </si>
  <si>
    <t>ISOTUBO® 3" 914 X 040 mm</t>
  </si>
  <si>
    <t>ISOTUBO® 2 ½" 914 X 040 mm</t>
  </si>
  <si>
    <t>ISOTUBO® 3" 914 X 050 mm</t>
  </si>
  <si>
    <t>ISOTUBO® 4" 914 X 025 mm</t>
  </si>
  <si>
    <t>ISOTUBO® 4" 914 X 040 mm</t>
  </si>
  <si>
    <t>ISOTUBO® 6" 914 X 025 mm</t>
  </si>
  <si>
    <t>ISOTUBO® 6" 914 X 040 mm</t>
  </si>
  <si>
    <t>ISOTUBO® 6" 914 X 063 mm</t>
  </si>
  <si>
    <t>ISOTUBO® 8" 914 X 025 mm</t>
  </si>
  <si>
    <t>ISOTUBO® 8" 914 X 050 mm</t>
  </si>
  <si>
    <t xml:space="preserve"> 8" 914 X 050 mm</t>
  </si>
  <si>
    <t>LOCAL</t>
  </si>
  <si>
    <t>ETAPA</t>
  </si>
  <si>
    <t>ÁREA DO ESCOPO (m²)</t>
  </si>
  <si>
    <t>VOLUME DO ESCOPO (m³)</t>
  </si>
  <si>
    <t>10% frete</t>
  </si>
  <si>
    <t>18% NF</t>
  </si>
  <si>
    <t>20% LUCRO</t>
  </si>
  <si>
    <t>INSTALAÇÃO</t>
  </si>
  <si>
    <t>INSTALAÇÃO  + MATERIAL</t>
  </si>
  <si>
    <t>CERVEJARIA DA BAHIA</t>
  </si>
  <si>
    <t>LINHAS 4"</t>
  </si>
  <si>
    <t>INST. ISOL. TÉRM. À FRIO ARMAFLEX-TUBUL. ESP. 50MM</t>
  </si>
  <si>
    <t>Troca do isolamento térmico das tubulações.</t>
  </si>
  <si>
    <t>Cervejaria da Bahia</t>
  </si>
  <si>
    <t>ARMAFLEX 50 MM (BICAMADA 25 MM)</t>
  </si>
  <si>
    <t>CERVEJARIA</t>
  </si>
  <si>
    <t>LINHAS</t>
  </si>
  <si>
    <t>LINHAS 1 1/2" - XAROPARIA ÁGUA GELADA</t>
  </si>
  <si>
    <t>LINHAS 2 " - XAROPARIA ÁGUA GELADA</t>
  </si>
  <si>
    <t>AREA INTERNA XAROPARIA</t>
  </si>
  <si>
    <t>AREA EXTERNA XAROPARIA</t>
  </si>
  <si>
    <t>BARRELETE</t>
  </si>
  <si>
    <t>MATERIAL FIBRA CERÂMICA 2" + CHAPA DE ALUMÍNIO</t>
  </si>
  <si>
    <t>CHILLER - 88M²</t>
  </si>
  <si>
    <t>MATERIAL ARMAFLEX 2"</t>
  </si>
  <si>
    <t>INSTALAÇÃO - ISOLAMENTO QUENTE</t>
  </si>
  <si>
    <t>INSTALAÇÃO - ISOLAMENTO FRIO</t>
  </si>
  <si>
    <t>LINHAS / CHILLER</t>
  </si>
  <si>
    <t>VALOR UNITÁRIO m³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</si>
</sst>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8" formatCode="&quot;R$&quot;\ #,##0.00;[Red]\-&quot;R$&quot;\ #,##0.00"/>
    <numFmt numFmtId="44" formatCode="_-&quot;R$&quot;\ * #,##0.00_-;\-&quot;R$&quot;\ * #,##0.00_-;_-&quot;R$&quot;\ * &quot;-&quot;??_-;_-@_-"/>
    <numFmt numFmtId="43" formatCode="_-* #,##0.00_-;\-* #,##0.00_-;_-* &quot;-&quot;??_-;_-@_-"/>
    <numFmt numFmtId="164" formatCode="_(&quot;R$ &quot;* #,##0.00_);_(&quot;R$ &quot;* \(#,##0.00\);_(&quot;R$ &quot;* \-??_);_(@_)"/>
    <numFmt numFmtId="165" formatCode="_-[$R$-416]\ * #,##0.00_-;\-[$R$-416]\ * #,##0.00_-;_-[$R$-416]\ * \-??_-;_-@_-"/>
    <numFmt numFmtId="166" formatCode="_(* #,##0.00_);_(* \(#,##0.00\);_(* \-??_);_(@_)"/>
    <numFmt numFmtId="167" formatCode="#\ ?/2"/>
    <numFmt numFmtId="168" formatCode="0.000"/>
    <numFmt numFmtId="169" formatCode="&quot;AS Nº.: &quot;000&quot;/2023&quot;"/>
    <numFmt numFmtId="170" formatCode="_(* #,##0.00_);_(* \(#,##0.00\);_(* &quot;-&quot;??_);_(@_)"/>
    <numFmt numFmtId="171" formatCode="_-&quot;R$&quot;* #,##0.00_-;\-&quot;R$&quot;* #,##0.00_-;_-&quot;R$&quot;* &quot;-&quot;??_-;_-@_-"/>
    <numFmt numFmtId="172" formatCode="0.0"/>
    <numFmt numFmtId="173" formatCode="_-[$R$-416]\ * #,##0.00_-;\-[$R$-416]\ * #,##0.00_-;_-[$R$-416]\ * &quot;-&quot;??_-;_-@_-"/>
    <numFmt numFmtId="174" formatCode="ddd"/>
    <numFmt numFmtId="175" formatCode="0.00\ &quot;m²&quot;"/>
    <numFmt numFmtId="176" formatCode="#,##0.00_ ;\-#,##0.00\ "/>
    <numFmt numFmtId="177" formatCode="mmm\-yy"/>
    <numFmt numFmtId="178" formatCode="dd/mm"/>
    <numFmt numFmtId="179" formatCode="_-* #,##0_-;\-* #,##0_-;_-* &quot;-&quot;??_-;_-@_-"/>
    <numFmt numFmtId="180" formatCode="&quot;R$&quot;\ #,##0.00"/>
    <numFmt numFmtId="181" formatCode="&quot;AS Nº.: &quot;000&quot;/2024&quot;"/>
    <numFmt numFmtId="182" formatCode="_(&quot;R$ &quot;* #,##0.00_);_(&quot;R$ &quot;* \(#,##0.00\);_(&quot;R$ &quot;* &quot;-&quot;??_);_(@_)"/>
    <numFmt numFmtId="183" formatCode="&quot;REV: &quot;00"/>
    <numFmt numFmtId="184" formatCode="[$-416]d\-mmm;@"/>
  </numFmts>
  <fonts count="16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10"/>
      <name val="Verdana"/>
      <family val="2"/>
    </font>
    <font>
      <b/>
      <sz val="14"/>
      <name val="Verdana"/>
      <family val="2"/>
    </font>
    <font>
      <b/>
      <u/>
      <sz val="12"/>
      <name val="Verdana"/>
      <family val="2"/>
    </font>
    <font>
      <sz val="8"/>
      <name val="Calibri"/>
      <family val="2"/>
      <scheme val="minor"/>
    </font>
    <font>
      <sz val="8"/>
      <name val="Arial"/>
      <family val="2"/>
    </font>
    <font>
      <sz val="8"/>
      <name val="Verdana"/>
      <family val="2"/>
    </font>
    <font>
      <sz val="10"/>
      <name val="Calibri"/>
      <family val="2"/>
      <scheme val="minor"/>
    </font>
    <font>
      <b/>
      <sz val="10"/>
      <name val="Verdana"/>
      <family val="2"/>
    </font>
    <font>
      <b/>
      <i/>
      <sz val="10"/>
      <name val="Arial"/>
      <family val="2"/>
    </font>
    <font>
      <b/>
      <sz val="8"/>
      <name val="Arial"/>
      <family val="2"/>
    </font>
    <font>
      <sz val="9"/>
      <name val="Calibri"/>
      <family val="2"/>
      <scheme val="minor"/>
    </font>
    <font>
      <b/>
      <sz val="11"/>
      <color theme="0" tint="-4.9989318521683403E-2"/>
      <name val="Calibri"/>
      <family val="2"/>
      <scheme val="minor"/>
    </font>
    <font>
      <b/>
      <sz val="12"/>
      <color theme="0"/>
      <name val="Calibri"/>
      <family val="2"/>
      <scheme val="minor"/>
    </font>
    <font>
      <b/>
      <sz val="12"/>
      <color theme="1"/>
      <name val="Calibri"/>
      <family val="2"/>
      <scheme val="minor"/>
    </font>
    <font>
      <b/>
      <sz val="11"/>
      <name val="Calibri"/>
      <family val="2"/>
      <scheme val="minor"/>
    </font>
    <font>
      <b/>
      <sz val="14"/>
      <color theme="1"/>
      <name val="Calibri"/>
      <family val="2"/>
      <scheme val="minor"/>
    </font>
    <font>
      <sz val="18"/>
      <color theme="1"/>
      <name val="Calibri"/>
      <family val="2"/>
      <scheme val="minor"/>
    </font>
    <font>
      <sz val="11"/>
      <name val="Arial"/>
      <family val="2"/>
    </font>
    <font>
      <sz val="14"/>
      <name val="Arial"/>
      <family val="2"/>
    </font>
    <font>
      <sz val="12"/>
      <color theme="1"/>
      <name val="Calibri"/>
      <family val="2"/>
      <scheme val="minor"/>
    </font>
    <font>
      <sz val="8"/>
      <color theme="1"/>
      <name val="Courier New"/>
      <family val="3"/>
    </font>
    <font>
      <sz val="11"/>
      <color theme="1"/>
      <name val="Courier New"/>
      <family val="3"/>
    </font>
    <font>
      <sz val="10"/>
      <color theme="1"/>
      <name val="Courier New"/>
      <family val="3"/>
    </font>
    <font>
      <b/>
      <sz val="10"/>
      <color theme="1"/>
      <name val="Courier New"/>
      <family val="3"/>
    </font>
    <font>
      <sz val="8"/>
      <name val="Calibri"/>
      <family val="2"/>
    </font>
    <font>
      <sz val="9"/>
      <color indexed="81"/>
      <name val="Segoe UI"/>
      <family val="2"/>
    </font>
    <font>
      <b/>
      <sz val="9"/>
      <color indexed="81"/>
      <name val="Segoe UI"/>
      <family val="2"/>
    </font>
    <font>
      <sz val="9"/>
      <name val="Arial"/>
      <family val="2"/>
    </font>
    <font>
      <b/>
      <sz val="9"/>
      <name val="Arial"/>
      <family val="2"/>
    </font>
    <font>
      <b/>
      <sz val="14"/>
      <name val="Calibri"/>
      <family val="2"/>
      <scheme val="minor"/>
    </font>
    <font>
      <b/>
      <sz val="10"/>
      <name val="Arial"/>
      <family val="2"/>
    </font>
    <font>
      <sz val="8"/>
      <color rgb="FF000000"/>
      <name val="Tahoma"/>
      <family val="2"/>
    </font>
    <font>
      <sz val="10"/>
      <color indexed="18"/>
      <name val="Calibri"/>
      <family val="2"/>
      <scheme val="minor"/>
    </font>
    <font>
      <b/>
      <sz val="18"/>
      <color rgb="FF000080"/>
      <name val="Calibri"/>
      <family val="2"/>
      <scheme val="minor"/>
    </font>
    <font>
      <sz val="10"/>
      <color indexed="10"/>
      <name val="Calibri"/>
      <family val="2"/>
      <scheme val="minor"/>
    </font>
    <font>
      <b/>
      <sz val="11"/>
      <color indexed="18"/>
      <name val="Calibri"/>
      <family val="2"/>
      <scheme val="minor"/>
    </font>
    <font>
      <sz val="12"/>
      <color rgb="FF002060"/>
      <name val="Calibri"/>
      <family val="2"/>
      <scheme val="minor"/>
    </font>
    <font>
      <sz val="11"/>
      <name val="Arial Unicode MS"/>
      <family val="2"/>
    </font>
    <font>
      <sz val="10"/>
      <color indexed="18"/>
      <name val="Tahoma"/>
      <family val="2"/>
    </font>
    <font>
      <b/>
      <sz val="10"/>
      <color indexed="18"/>
      <name val="Calibri"/>
      <family val="2"/>
      <scheme val="minor"/>
    </font>
    <font>
      <sz val="10"/>
      <color rgb="FF002060"/>
      <name val="Calibri"/>
      <family val="2"/>
      <scheme val="minor"/>
    </font>
    <font>
      <u/>
      <sz val="11"/>
      <color theme="10"/>
      <name val="Calibri"/>
      <family val="2"/>
      <scheme val="minor"/>
    </font>
    <font>
      <u/>
      <sz val="11"/>
      <color rgb="FF002060"/>
      <name val="Calibri"/>
      <family val="2"/>
      <scheme val="minor"/>
    </font>
    <font>
      <sz val="9"/>
      <color rgb="FF002060"/>
      <name val="Calibri"/>
      <family val="2"/>
      <scheme val="minor"/>
    </font>
    <font>
      <b/>
      <sz val="10"/>
      <color rgb="FF002060"/>
      <name val="Calibri"/>
      <family val="2"/>
      <scheme val="minor"/>
    </font>
    <font>
      <b/>
      <sz val="10"/>
      <color rgb="FF000080"/>
      <name val="Calibri"/>
      <family val="2"/>
    </font>
    <font>
      <sz val="10"/>
      <color rgb="FF000080"/>
      <name val="Calibri"/>
      <family val="2"/>
    </font>
    <font>
      <sz val="8"/>
      <color theme="3"/>
      <name val="Arial"/>
      <family val="2"/>
    </font>
    <font>
      <b/>
      <sz val="11"/>
      <color rgb="FF000080"/>
      <name val="Calibri"/>
      <family val="2"/>
    </font>
    <font>
      <sz val="12"/>
      <name val="Arial"/>
      <family val="2"/>
    </font>
    <font>
      <b/>
      <u/>
      <sz val="10"/>
      <name val="Arial"/>
      <family val="2"/>
    </font>
    <font>
      <b/>
      <sz val="12"/>
      <name val="Arial"/>
      <family val="2"/>
    </font>
    <font>
      <b/>
      <i/>
      <u/>
      <sz val="10"/>
      <name val="Arial"/>
      <family val="2"/>
    </font>
    <font>
      <b/>
      <sz val="11"/>
      <name val="Arial"/>
      <family val="2"/>
    </font>
    <font>
      <b/>
      <sz val="14"/>
      <name val="Arial"/>
      <family val="2"/>
    </font>
    <font>
      <b/>
      <sz val="16"/>
      <color theme="0"/>
      <name val="Arial"/>
      <family val="2"/>
    </font>
    <font>
      <sz val="12"/>
      <color rgb="FF002060"/>
      <name val="Arial"/>
      <family val="2"/>
    </font>
    <font>
      <b/>
      <sz val="15"/>
      <name val="Arial"/>
      <family val="2"/>
    </font>
    <font>
      <sz val="16"/>
      <name val="Arial"/>
      <family val="2"/>
    </font>
    <font>
      <b/>
      <sz val="16"/>
      <name val="Arial"/>
      <family val="2"/>
    </font>
    <font>
      <b/>
      <sz val="20"/>
      <name val="Arial"/>
      <family val="2"/>
    </font>
    <font>
      <sz val="10"/>
      <name val="Calibri Light"/>
      <family val="2"/>
      <scheme val="major"/>
    </font>
    <font>
      <b/>
      <sz val="14"/>
      <name val="Calibri Light"/>
      <family val="2"/>
      <scheme val="major"/>
    </font>
    <font>
      <b/>
      <u/>
      <sz val="12"/>
      <name val="Calibri Light"/>
      <family val="2"/>
      <scheme val="major"/>
    </font>
    <font>
      <sz val="14"/>
      <name val="Calibri Light"/>
      <family val="2"/>
      <scheme val="major"/>
    </font>
    <font>
      <sz val="8"/>
      <name val="Calibri Light"/>
      <family val="2"/>
      <scheme val="major"/>
    </font>
    <font>
      <b/>
      <sz val="14"/>
      <color theme="0"/>
      <name val="Calibri Light"/>
      <family val="2"/>
      <scheme val="major"/>
    </font>
    <font>
      <b/>
      <i/>
      <sz val="10"/>
      <name val="Calibri Light"/>
      <family val="2"/>
      <scheme val="major"/>
    </font>
    <font>
      <b/>
      <sz val="20"/>
      <color theme="1"/>
      <name val="Calibri"/>
      <family val="2"/>
      <scheme val="minor"/>
    </font>
    <font>
      <sz val="10"/>
      <name val="Times New Roman"/>
      <family val="1"/>
    </font>
    <font>
      <b/>
      <sz val="10"/>
      <color rgb="FF002060"/>
      <name val="Arial Narrow"/>
      <family val="2"/>
    </font>
    <font>
      <b/>
      <sz val="10"/>
      <color theme="0"/>
      <name val="Arial"/>
      <family val="2"/>
    </font>
    <font>
      <sz val="10"/>
      <color theme="0"/>
      <name val="Arial"/>
      <family val="2"/>
    </font>
    <font>
      <sz val="14"/>
      <color rgb="FF002060"/>
      <name val="Arial"/>
      <family val="2"/>
    </font>
    <font>
      <sz val="14"/>
      <color rgb="FF002060"/>
      <name val="Calibri"/>
      <family val="2"/>
      <scheme val="minor"/>
    </font>
    <font>
      <sz val="14"/>
      <color rgb="FFC00000"/>
      <name val="Calibri"/>
      <family val="2"/>
      <scheme val="minor"/>
    </font>
    <font>
      <sz val="10"/>
      <color rgb="FF002060"/>
      <name val="Arial"/>
      <family val="2"/>
    </font>
    <font>
      <sz val="11"/>
      <color rgb="FF002060"/>
      <name val="Arial"/>
      <family val="2"/>
    </font>
    <font>
      <sz val="11"/>
      <color rgb="FF002060"/>
      <name val="Calibri"/>
      <family val="2"/>
      <scheme val="minor"/>
    </font>
    <font>
      <b/>
      <sz val="11"/>
      <color rgb="FF002060"/>
      <name val="Calibri"/>
      <family val="2"/>
      <scheme val="minor"/>
    </font>
    <font>
      <b/>
      <sz val="10"/>
      <color rgb="FF002060"/>
      <name val="Arial"/>
      <family val="2"/>
    </font>
    <font>
      <sz val="10"/>
      <color theme="1" tint="0.34998626667073579"/>
      <name val="Arial"/>
      <family val="2"/>
    </font>
    <font>
      <b/>
      <sz val="11"/>
      <color rgb="FFC00000"/>
      <name val="Calibri"/>
      <family val="2"/>
      <scheme val="minor"/>
    </font>
    <font>
      <b/>
      <sz val="22"/>
      <color theme="1"/>
      <name val="Calibri"/>
      <family val="2"/>
      <scheme val="minor"/>
    </font>
    <font>
      <b/>
      <sz val="11"/>
      <color rgb="FF002060"/>
      <name val="Arial"/>
      <family val="2"/>
    </font>
    <font>
      <b/>
      <sz val="9"/>
      <color rgb="FF002060"/>
      <name val="Calibri"/>
      <family val="2"/>
      <scheme val="minor"/>
    </font>
    <font>
      <b/>
      <sz val="12"/>
      <color rgb="FF002060"/>
      <name val="Calibri"/>
      <family val="2"/>
      <scheme val="minor"/>
    </font>
    <font>
      <sz val="10"/>
      <color rgb="FFFF0000"/>
      <name val="Calibri"/>
      <family val="2"/>
      <scheme val="minor"/>
    </font>
    <font>
      <sz val="9"/>
      <color theme="1"/>
      <name val="Calibri"/>
      <family val="2"/>
      <scheme val="minor"/>
    </font>
    <font>
      <b/>
      <sz val="8"/>
      <color rgb="FF002060"/>
      <name val="Arial"/>
      <family val="2"/>
    </font>
    <font>
      <b/>
      <sz val="11"/>
      <color theme="4" tint="0.39997558519241921"/>
      <name val="Calibri"/>
      <family val="2"/>
      <scheme val="minor"/>
    </font>
    <font>
      <b/>
      <sz val="10"/>
      <color theme="3" tint="-0.249977111117893"/>
      <name val="Arial"/>
      <family val="2"/>
    </font>
    <font>
      <b/>
      <sz val="20"/>
      <color indexed="81"/>
      <name val="Segoe UI"/>
      <family val="2"/>
    </font>
    <font>
      <sz val="20"/>
      <color indexed="81"/>
      <name val="Segoe UI"/>
      <family val="2"/>
    </font>
    <font>
      <sz val="14"/>
      <color rgb="FFFF0000"/>
      <name val="Calibri Light"/>
      <family val="2"/>
      <scheme val="major"/>
    </font>
    <font>
      <b/>
      <sz val="11"/>
      <color theme="0"/>
      <name val="Calibri"/>
      <family val="2"/>
      <scheme val="minor"/>
    </font>
    <font>
      <b/>
      <sz val="11"/>
      <color rgb="FFFF0000"/>
      <name val="Calibri"/>
      <family val="2"/>
      <scheme val="minor"/>
    </font>
    <font>
      <b/>
      <sz val="11"/>
      <color rgb="FF00B050"/>
      <name val="Calibri"/>
      <family val="2"/>
      <scheme val="minor"/>
    </font>
    <font>
      <b/>
      <sz val="9"/>
      <color rgb="FFC00000"/>
      <name val="Calibri"/>
      <family val="2"/>
      <scheme val="minor"/>
    </font>
    <font>
      <b/>
      <sz val="11"/>
      <color theme="9"/>
      <name val="Calibri"/>
      <family val="2"/>
      <scheme val="minor"/>
    </font>
    <font>
      <b/>
      <sz val="10"/>
      <color theme="1"/>
      <name val="Calibri"/>
      <family val="2"/>
      <scheme val="minor"/>
    </font>
    <font>
      <sz val="9"/>
      <color rgb="FF0070C0"/>
      <name val="Calibri"/>
      <family val="2"/>
      <scheme val="minor"/>
    </font>
    <font>
      <sz val="9"/>
      <color rgb="FFFF0000"/>
      <name val="Calibri"/>
      <family val="2"/>
      <scheme val="minor"/>
    </font>
    <font>
      <sz val="9"/>
      <color theme="9"/>
      <name val="Calibri"/>
      <family val="2"/>
      <scheme val="minor"/>
    </font>
    <font>
      <b/>
      <sz val="10"/>
      <color rgb="FF0070C0"/>
      <name val="Calibri"/>
      <family val="2"/>
      <scheme val="minor"/>
    </font>
    <font>
      <sz val="9"/>
      <color theme="4"/>
      <name val="Calibri"/>
      <family val="2"/>
      <scheme val="minor"/>
    </font>
    <font>
      <b/>
      <sz val="10"/>
      <color rgb="FFFF0000"/>
      <name val="Calibri"/>
      <family val="2"/>
      <scheme val="minor"/>
    </font>
    <font>
      <b/>
      <sz val="10"/>
      <color theme="9"/>
      <name val="Calibri"/>
      <family val="2"/>
      <scheme val="minor"/>
    </font>
    <font>
      <b/>
      <sz val="9"/>
      <color theme="9"/>
      <name val="Calibri"/>
      <family val="2"/>
      <scheme val="minor"/>
    </font>
    <font>
      <b/>
      <sz val="18"/>
      <color theme="1"/>
      <name val="Calibri"/>
      <family val="2"/>
      <scheme val="minor"/>
    </font>
    <font>
      <b/>
      <sz val="16"/>
      <color rgb="FFFF0000"/>
      <name val="Calibri"/>
      <family val="2"/>
      <scheme val="minor"/>
    </font>
    <font>
      <sz val="10"/>
      <color theme="1"/>
      <name val="Calibri"/>
      <family val="2"/>
      <scheme val="minor"/>
    </font>
    <font>
      <sz val="14"/>
      <color theme="1"/>
      <name val="Calibri Light"/>
      <family val="2"/>
      <scheme val="major"/>
    </font>
    <font>
      <sz val="14"/>
      <color theme="1"/>
      <name val="Calibri"/>
      <family val="2"/>
      <scheme val="minor"/>
    </font>
    <font>
      <sz val="11"/>
      <color theme="0"/>
      <name val="Calibri"/>
      <family val="2"/>
      <scheme val="minor"/>
    </font>
    <font>
      <b/>
      <sz val="11"/>
      <color theme="1" tint="4.9989318521683403E-2"/>
      <name val="Calibri"/>
      <family val="2"/>
      <scheme val="minor"/>
    </font>
    <font>
      <sz val="11"/>
      <color theme="1" tint="4.9989318521683403E-2"/>
      <name val="Calibri"/>
      <family val="2"/>
      <scheme val="minor"/>
    </font>
    <font>
      <sz val="18"/>
      <color theme="1"/>
      <name val="Calibri Light"/>
      <family val="2"/>
      <scheme val="major"/>
    </font>
    <font>
      <sz val="11"/>
      <color rgb="FFFF0000"/>
      <name val="Calibri"/>
      <family val="2"/>
      <scheme val="minor"/>
    </font>
    <font>
      <sz val="10"/>
      <color theme="1"/>
      <name val="Arial"/>
      <family val="2"/>
    </font>
    <font>
      <sz val="14"/>
      <name val="Calibri"/>
      <family val="2"/>
      <scheme val="minor"/>
    </font>
    <font>
      <b/>
      <sz val="14"/>
      <color rgb="FF002060"/>
      <name val="Calibri"/>
      <family val="2"/>
      <scheme val="minor"/>
    </font>
    <font>
      <sz val="10"/>
      <color rgb="FFFF0000"/>
      <name val="Bookman Old Style"/>
      <family val="1"/>
    </font>
    <font>
      <b/>
      <sz val="12"/>
      <name val="Bookman Old Style"/>
      <family val="1"/>
    </font>
    <font>
      <b/>
      <sz val="10"/>
      <color theme="1"/>
      <name val="Bookman Old Style"/>
      <family val="1"/>
    </font>
    <font>
      <b/>
      <sz val="12"/>
      <color rgb="FFFF0000"/>
      <name val="Tahoma"/>
      <family val="2"/>
    </font>
    <font>
      <sz val="10"/>
      <color rgb="FFFF0000"/>
      <name val="Arial"/>
      <family val="2"/>
    </font>
    <font>
      <b/>
      <sz val="12"/>
      <name val="Tahoma"/>
      <family val="2"/>
    </font>
    <font>
      <b/>
      <sz val="16"/>
      <color theme="1"/>
      <name val="Calibri Light"/>
      <family val="2"/>
      <scheme val="major"/>
    </font>
    <font>
      <sz val="16"/>
      <color rgb="FFFF0000"/>
      <name val="Calibri Light"/>
      <family val="2"/>
      <scheme val="major"/>
    </font>
    <font>
      <sz val="16"/>
      <color theme="1"/>
      <name val="Calibri Light"/>
      <family val="2"/>
      <scheme val="major"/>
    </font>
    <font>
      <b/>
      <sz val="18"/>
      <color rgb="FF0070C0"/>
      <name val="Calibri"/>
      <family val="2"/>
      <scheme val="minor"/>
    </font>
    <font>
      <sz val="12"/>
      <color theme="1"/>
      <name val="Tahoma"/>
      <family val="2"/>
    </font>
    <font>
      <b/>
      <sz val="16"/>
      <color theme="1"/>
      <name val="Calibri"/>
      <family val="2"/>
      <scheme val="minor"/>
    </font>
    <font>
      <sz val="10"/>
      <color indexed="8"/>
      <name val="Arial"/>
      <family val="2"/>
    </font>
    <font>
      <b/>
      <sz val="20"/>
      <color rgb="FFFF0000"/>
      <name val="Calibri"/>
      <family val="2"/>
      <scheme val="minor"/>
    </font>
    <font>
      <b/>
      <sz val="12"/>
      <color theme="0"/>
      <name val="Arial"/>
      <family val="2"/>
    </font>
    <font>
      <sz val="14"/>
      <color rgb="FFFF0000"/>
      <name val="Calibri"/>
      <family val="2"/>
      <scheme val="minor"/>
    </font>
    <font>
      <sz val="10"/>
      <color theme="4" tint="0.39997558519241921"/>
      <name val="Arial"/>
      <family val="2"/>
    </font>
    <font>
      <b/>
      <sz val="16"/>
      <name val="Calibri"/>
      <family val="2"/>
      <scheme val="minor"/>
    </font>
    <font>
      <sz val="10"/>
      <color rgb="FFC00000"/>
      <name val="Arial"/>
      <family val="2"/>
    </font>
    <font>
      <b/>
      <u/>
      <sz val="16"/>
      <color indexed="81"/>
      <name val="Segoe UI"/>
      <family val="2"/>
    </font>
    <font>
      <sz val="18"/>
      <color indexed="81"/>
      <name val="Segoe UI"/>
      <family val="2"/>
    </font>
    <font>
      <b/>
      <sz val="10"/>
      <color theme="0"/>
      <name val="Calibri"/>
      <family val="2"/>
      <scheme val="minor"/>
    </font>
    <font>
      <sz val="9"/>
      <color indexed="81"/>
      <name val="Tahoma"/>
      <family val="2"/>
    </font>
    <font>
      <b/>
      <sz val="9"/>
      <color indexed="81"/>
      <name val="Tahoma"/>
      <family val="2"/>
    </font>
    <font>
      <sz val="20"/>
      <name val="Arial"/>
      <family val="2"/>
    </font>
  </fonts>
  <fills count="37">
    <fill>
      <patternFill patternType="none"/>
    </fill>
    <fill>
      <patternFill patternType="gray125"/>
    </fill>
    <fill>
      <patternFill patternType="solid">
        <fgColor indexed="9"/>
        <bgColor indexed="26"/>
      </patternFill>
    </fill>
    <fill>
      <patternFill patternType="solid">
        <fgColor theme="2"/>
        <bgColor indexed="64"/>
      </patternFill>
    </fill>
    <fill>
      <patternFill patternType="solid">
        <fgColor theme="2"/>
        <bgColor indexed="26"/>
      </patternFill>
    </fill>
    <fill>
      <patternFill patternType="solid">
        <fgColor indexed="31"/>
        <bgColor indexed="42"/>
      </patternFill>
    </fill>
    <fill>
      <patternFill patternType="solid">
        <fgColor theme="0"/>
        <bgColor indexed="64"/>
      </patternFill>
    </fill>
    <fill>
      <patternFill patternType="solid">
        <fgColor theme="9" tint="0.59999389629810485"/>
        <bgColor indexed="64"/>
      </patternFill>
    </fill>
    <fill>
      <patternFill patternType="solid">
        <fgColor theme="6" tint="-0.249977111117893"/>
        <bgColor indexed="64"/>
      </patternFill>
    </fill>
    <fill>
      <patternFill patternType="solid">
        <fgColor theme="1"/>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3" tint="-0.249977111117893"/>
        <bgColor indexed="64"/>
      </patternFill>
    </fill>
    <fill>
      <patternFill patternType="solid">
        <fgColor theme="4" tint="0.79998168889431442"/>
        <bgColor indexed="42"/>
      </patternFill>
    </fill>
    <fill>
      <patternFill patternType="solid">
        <fgColor rgb="FF002060"/>
        <bgColor indexed="64"/>
      </patternFill>
    </fill>
    <fill>
      <patternFill patternType="solid">
        <fgColor theme="1" tint="0.49998474074526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C00000"/>
        <bgColor indexed="26"/>
      </patternFill>
    </fill>
    <fill>
      <patternFill patternType="solid">
        <fgColor rgb="FFFFFF00"/>
        <bgColor indexed="26"/>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26"/>
      </patternFill>
    </fill>
    <fill>
      <patternFill patternType="solid">
        <fgColor rgb="FFFFC00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6" tint="0.39997558519241921"/>
        <bgColor indexed="64"/>
      </patternFill>
    </fill>
  </fills>
  <borders count="162">
    <border>
      <left/>
      <right/>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hair">
        <color indexed="8"/>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style="hair">
        <color indexed="8"/>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right/>
      <top style="hair">
        <color indexed="64"/>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style="hair">
        <color rgb="FF000000"/>
      </left>
      <right style="thin">
        <color rgb="FF000000"/>
      </right>
      <top style="hair">
        <color rgb="FF000000"/>
      </top>
      <bottom style="thin">
        <color rgb="FF000000"/>
      </bottom>
      <diagonal/>
    </border>
    <border>
      <left style="hair">
        <color rgb="FF000000"/>
      </left>
      <right style="hair">
        <color rgb="FF000000"/>
      </right>
      <top style="hair">
        <color rgb="FF000000"/>
      </top>
      <bottom style="thin">
        <color rgb="FF000000"/>
      </bottom>
      <diagonal/>
    </border>
    <border>
      <left style="thin">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style="hair">
        <color rgb="FF000000"/>
      </right>
      <top style="hair">
        <color rgb="FF000000"/>
      </top>
      <bottom style="hair">
        <color rgb="FF000000"/>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rgb="FF000000"/>
      </left>
      <right style="thin">
        <color rgb="FF000000"/>
      </right>
      <top style="thin">
        <color rgb="FF000000"/>
      </top>
      <bottom style="hair">
        <color rgb="FF000000"/>
      </bottom>
      <diagonal/>
    </border>
    <border>
      <left style="hair">
        <color rgb="FF000000"/>
      </left>
      <right style="hair">
        <color rgb="FF000000"/>
      </right>
      <top style="thin">
        <color rgb="FF000000"/>
      </top>
      <bottom style="hair">
        <color rgb="FF000000"/>
      </bottom>
      <diagonal/>
    </border>
    <border>
      <left style="thin">
        <color rgb="FF000000"/>
      </left>
      <right style="hair">
        <color rgb="FF000000"/>
      </right>
      <top style="thin">
        <color rgb="FF000000"/>
      </top>
      <bottom style="hair">
        <color rgb="FF000000"/>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1" tint="0.499984740745262"/>
      </left>
      <right/>
      <top/>
      <bottom/>
      <diagonal/>
    </border>
    <border>
      <left/>
      <right style="thin">
        <color theme="0" tint="-0.24994659260841701"/>
      </right>
      <top style="thin">
        <color theme="0" tint="-0.24994659260841701"/>
      </top>
      <bottom style="thin">
        <color theme="0" tint="-0.24994659260841701"/>
      </bottom>
      <diagonal/>
    </border>
    <border>
      <left/>
      <right/>
      <top style="thin">
        <color indexed="64"/>
      </top>
      <bottom/>
      <diagonal/>
    </border>
    <border>
      <left/>
      <right style="thin">
        <color indexed="64"/>
      </right>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bottom style="thin">
        <color indexed="64"/>
      </bottom>
      <diagonal/>
    </border>
    <border>
      <left/>
      <right style="thin">
        <color indexed="64"/>
      </right>
      <top style="thin">
        <color indexed="64"/>
      </top>
      <bottom/>
      <diagonal/>
    </border>
    <border>
      <left style="hair">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22"/>
      </left>
      <right style="thin">
        <color indexed="22"/>
      </right>
      <top/>
      <bottom style="thin">
        <color indexed="22"/>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bottom style="hair">
        <color indexed="64"/>
      </bottom>
      <diagonal/>
    </border>
    <border>
      <left/>
      <right style="hair">
        <color indexed="64"/>
      </right>
      <top/>
      <bottom/>
      <diagonal/>
    </border>
    <border>
      <left/>
      <right style="thin">
        <color indexed="64"/>
      </right>
      <top style="hair">
        <color indexed="64"/>
      </top>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theme="0"/>
      </left>
      <right style="hair">
        <color auto="1"/>
      </right>
      <top/>
      <bottom/>
      <diagonal/>
    </border>
    <border>
      <left style="thin">
        <color theme="0"/>
      </left>
      <right style="thin">
        <color theme="0"/>
      </right>
      <top/>
      <bottom/>
      <diagonal/>
    </border>
    <border>
      <left style="thin">
        <color indexed="64"/>
      </left>
      <right style="thin">
        <color theme="0"/>
      </right>
      <top/>
      <bottom/>
      <diagonal/>
    </border>
    <border>
      <left style="hair">
        <color indexed="64"/>
      </left>
      <right/>
      <top style="thin">
        <color indexed="64"/>
      </top>
      <bottom/>
      <diagonal/>
    </border>
    <border>
      <left style="thin">
        <color theme="0" tint="-0.24994659260841701"/>
      </left>
      <right style="thin">
        <color theme="0" tint="-0.2499465926084170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0.24994659260841701"/>
      </left>
      <right/>
      <top style="thin">
        <color theme="0" tint="-0.24994659260841701"/>
      </top>
      <bottom style="medium">
        <color indexed="64"/>
      </bottom>
      <diagonal/>
    </border>
    <border>
      <left/>
      <right style="thin">
        <color theme="0" tint="-0.24994659260841701"/>
      </right>
      <top style="thin">
        <color theme="0" tint="-0.24994659260841701"/>
      </top>
      <bottom style="medium">
        <color indexed="64"/>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style="thin">
        <color theme="0" tint="-0.499984740745262"/>
      </top>
      <bottom style="thin">
        <color theme="0" tint="-0.499984740745262"/>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tint="-0.24994659260841701"/>
      </left>
      <right style="thin">
        <color theme="0" tint="-0.24994659260841701"/>
      </right>
      <top style="thin">
        <color theme="0" tint="-0.24994659260841701"/>
      </top>
      <bottom style="double">
        <color theme="0" tint="-0.249977111117893"/>
      </bottom>
      <diagonal/>
    </border>
    <border>
      <left style="double">
        <color theme="0" tint="-0.249977111117893"/>
      </left>
      <right/>
      <top style="double">
        <color theme="0" tint="-0.249977111117893"/>
      </top>
      <bottom style="double">
        <color theme="0" tint="-0.24994659260841701"/>
      </bottom>
      <diagonal/>
    </border>
    <border>
      <left/>
      <right/>
      <top style="double">
        <color theme="0" tint="-0.24994659260841701"/>
      </top>
      <bottom style="double">
        <color theme="0" tint="-0.24994659260841701"/>
      </bottom>
      <diagonal/>
    </border>
    <border>
      <left/>
      <right style="double">
        <color theme="0" tint="-0.249977111117893"/>
      </right>
      <top style="double">
        <color theme="0" tint="-0.24994659260841701"/>
      </top>
      <bottom style="double">
        <color theme="0" tint="-0.24994659260841701"/>
      </bottom>
      <diagonal/>
    </border>
    <border>
      <left style="thin">
        <color theme="0" tint="-0.24994659260841701"/>
      </left>
      <right/>
      <top style="thin">
        <color theme="0" tint="-0.24994659260841701"/>
      </top>
      <bottom/>
      <diagonal/>
    </border>
    <border>
      <left style="double">
        <color theme="0" tint="-0.249977111117893"/>
      </left>
      <right/>
      <top style="double">
        <color theme="0" tint="-0.249977111117893"/>
      </top>
      <bottom style="double">
        <color theme="0" tint="-0.249977111117893"/>
      </bottom>
      <diagonal/>
    </border>
    <border>
      <left/>
      <right/>
      <top style="double">
        <color theme="0" tint="-0.249977111117893"/>
      </top>
      <bottom style="double">
        <color theme="0" tint="-0.249977111117893"/>
      </bottom>
      <diagonal/>
    </border>
    <border>
      <left/>
      <right style="double">
        <color theme="0" tint="-0.249977111117893"/>
      </right>
      <top style="double">
        <color theme="0" tint="-0.249977111117893"/>
      </top>
      <bottom style="double">
        <color theme="0" tint="-0.249977111117893"/>
      </bottom>
      <diagonal/>
    </border>
    <border>
      <left style="double">
        <color theme="0" tint="-0.249977111117893"/>
      </left>
      <right/>
      <top/>
      <bottom/>
      <diagonal/>
    </border>
    <border>
      <left/>
      <right style="double">
        <color theme="0" tint="-0.249977111117893"/>
      </right>
      <top/>
      <bottom/>
      <diagonal/>
    </border>
    <border>
      <left/>
      <right/>
      <top/>
      <bottom style="double">
        <color theme="0" tint="-0.24994659260841701"/>
      </bottom>
      <diagonal/>
    </border>
    <border>
      <left/>
      <right style="double">
        <color theme="0" tint="-0.249977111117893"/>
      </right>
      <top/>
      <bottom style="double">
        <color theme="0" tint="-0.24994659260841701"/>
      </bottom>
      <diagonal/>
    </border>
    <border>
      <left/>
      <right/>
      <top style="double">
        <color theme="0" tint="-0.24994659260841701"/>
      </top>
      <bottom/>
      <diagonal/>
    </border>
    <border>
      <left/>
      <right/>
      <top/>
      <bottom style="double">
        <color theme="0" tint="-0.249977111117893"/>
      </bottom>
      <diagonal/>
    </border>
    <border>
      <left style="double">
        <color theme="0" tint="-0.249977111117893"/>
      </left>
      <right/>
      <top/>
      <bottom style="double">
        <color theme="0" tint="-0.24994659260841701"/>
      </bottom>
      <diagonal/>
    </border>
    <border>
      <left/>
      <right/>
      <top/>
      <bottom style="thin">
        <color auto="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theme="0" tint="-0.24994659260841701"/>
      </left>
      <right/>
      <top/>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double">
        <color theme="0" tint="-0.499984740745262"/>
      </left>
      <right style="double">
        <color theme="0" tint="-0.499984740745262"/>
      </right>
      <top/>
      <bottom/>
      <diagonal/>
    </border>
    <border>
      <left style="double">
        <color theme="0" tint="-0.499984740745262"/>
      </left>
      <right/>
      <top/>
      <bottom style="medium">
        <color theme="0" tint="-0.24994659260841701"/>
      </bottom>
      <diagonal/>
    </border>
    <border>
      <left/>
      <right/>
      <top/>
      <bottom style="medium">
        <color theme="0" tint="-0.24994659260841701"/>
      </bottom>
      <diagonal/>
    </border>
    <border>
      <left/>
      <right style="double">
        <color theme="0" tint="-0.499984740745262"/>
      </right>
      <top/>
      <bottom style="medium">
        <color theme="0" tint="-0.24994659260841701"/>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hair">
        <color indexed="64"/>
      </left>
      <right style="hair">
        <color indexed="64"/>
      </right>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s>
  <cellStyleXfs count="49">
    <xf numFmtId="0" fontId="0" fillId="0" borderId="0"/>
    <xf numFmtId="164" fontId="16" fillId="0" borderId="0" applyFill="0" applyBorder="0" applyAlignment="0" applyProtection="0"/>
    <xf numFmtId="0" fontId="16" fillId="0" borderId="0"/>
    <xf numFmtId="0" fontId="16" fillId="0" borderId="0"/>
    <xf numFmtId="43" fontId="16" fillId="0" borderId="0" applyFont="0" applyFill="0" applyBorder="0" applyAlignment="0" applyProtection="0"/>
    <xf numFmtId="0" fontId="14" fillId="0" borderId="0"/>
    <xf numFmtId="0" fontId="54" fillId="0" borderId="0"/>
    <xf numFmtId="0" fontId="58" fillId="0" borderId="0" applyNumberFormat="0" applyFill="0" applyBorder="0" applyAlignment="0" applyProtection="0"/>
    <xf numFmtId="43" fontId="13" fillId="0" borderId="0" applyFont="0" applyFill="0" applyBorder="0" applyAlignment="0" applyProtection="0"/>
    <xf numFmtId="170" fontId="16" fillId="0" borderId="0" applyFont="0" applyFill="0" applyBorder="0" applyAlignment="0" applyProtection="0"/>
    <xf numFmtId="171" fontId="13" fillId="0" borderId="0" applyFont="0" applyFill="0" applyBorder="0" applyAlignment="0" applyProtection="0"/>
    <xf numFmtId="0" fontId="13" fillId="0" borderId="0"/>
    <xf numFmtId="44" fontId="13" fillId="0" borderId="0" applyFont="0" applyFill="0" applyBorder="0" applyAlignment="0" applyProtection="0"/>
    <xf numFmtId="0" fontId="16" fillId="0" borderId="0"/>
    <xf numFmtId="9" fontId="16" fillId="0" borderId="0" applyFont="0" applyFill="0" applyBorder="0" applyAlignment="0" applyProtection="0"/>
    <xf numFmtId="44" fontId="16" fillId="0" borderId="0" applyFont="0" applyFill="0" applyBorder="0" applyAlignment="0" applyProtection="0"/>
    <xf numFmtId="9" fontId="16" fillId="0" borderId="0" applyFont="0" applyFill="0" applyBorder="0" applyAlignment="0" applyProtection="0"/>
    <xf numFmtId="0" fontId="12" fillId="0" borderId="0"/>
    <xf numFmtId="0" fontId="86" fillId="0" borderId="0"/>
    <xf numFmtId="44" fontId="16" fillId="0" borderId="0" applyFont="0" applyFill="0" applyBorder="0" applyAlignment="0" applyProtection="0"/>
    <xf numFmtId="0" fontId="12" fillId="0" borderId="0"/>
    <xf numFmtId="9" fontId="12" fillId="0" borderId="0" applyFont="0" applyFill="0" applyBorder="0" applyAlignment="0" applyProtection="0"/>
    <xf numFmtId="44" fontId="12" fillId="0" borderId="0" applyFont="0" applyFill="0" applyBorder="0" applyAlignment="0" applyProtection="0"/>
    <xf numFmtId="0" fontId="11" fillId="0" borderId="0"/>
    <xf numFmtId="43" fontId="11" fillId="0" borderId="0" applyFont="0" applyFill="0" applyBorder="0" applyAlignment="0" applyProtection="0"/>
    <xf numFmtId="44" fontId="11" fillId="0" borderId="0" applyFont="0" applyFill="0" applyBorder="0" applyAlignment="0" applyProtection="0"/>
    <xf numFmtId="0" fontId="10" fillId="0" borderId="0"/>
    <xf numFmtId="43" fontId="10" fillId="0" borderId="0" applyFont="0" applyFill="0" applyBorder="0" applyAlignment="0" applyProtection="0"/>
    <xf numFmtId="171" fontId="10" fillId="0" borderId="0" applyFont="0" applyFill="0" applyBorder="0" applyAlignment="0" applyProtection="0"/>
    <xf numFmtId="9" fontId="10" fillId="0" borderId="0" applyFont="0" applyFill="0" applyBorder="0" applyAlignment="0" applyProtection="0"/>
    <xf numFmtId="44" fontId="10" fillId="0" borderId="0" applyFont="0" applyFill="0" applyBorder="0" applyAlignment="0" applyProtection="0"/>
    <xf numFmtId="0" fontId="8" fillId="0" borderId="0"/>
    <xf numFmtId="43" fontId="8" fillId="0" borderId="0" applyFont="0" applyFill="0" applyBorder="0" applyAlignment="0" applyProtection="0"/>
    <xf numFmtId="171" fontId="8" fillId="0" borderId="0" applyFont="0" applyFill="0" applyBorder="0" applyAlignment="0" applyProtection="0"/>
    <xf numFmtId="182" fontId="16" fillId="0" borderId="0" applyFont="0" applyFill="0" applyBorder="0" applyAlignment="0" applyProtection="0"/>
    <xf numFmtId="9" fontId="5" fillId="0" borderId="0" applyFont="0" applyFill="0" applyBorder="0" applyAlignment="0" applyProtection="0"/>
    <xf numFmtId="0" fontId="58" fillId="0" borderId="0" applyNumberFormat="0" applyFill="0" applyBorder="0" applyAlignment="0" applyProtection="0"/>
    <xf numFmtId="0" fontId="5" fillId="0" borderId="0"/>
    <xf numFmtId="44" fontId="16" fillId="0" borderId="0" applyFont="0" applyFill="0" applyBorder="0" applyAlignment="0" applyProtection="0"/>
    <xf numFmtId="9" fontId="16" fillId="0" borderId="0" applyFont="0" applyFill="0" applyBorder="0" applyAlignment="0" applyProtection="0"/>
    <xf numFmtId="0" fontId="16" fillId="0" borderId="0"/>
    <xf numFmtId="0" fontId="4" fillId="0" borderId="0"/>
    <xf numFmtId="9" fontId="16" fillId="0" borderId="0" applyFill="0" applyBorder="0" applyAlignment="0" applyProtection="0"/>
    <xf numFmtId="0" fontId="151" fillId="0" borderId="0">
      <alignment vertical="top"/>
    </xf>
    <xf numFmtId="164" fontId="16" fillId="0" borderId="0" applyFill="0" applyBorder="0" applyAlignment="0" applyProtection="0"/>
    <xf numFmtId="44" fontId="3" fillId="0" borderId="0" applyFont="0" applyFill="0" applyBorder="0" applyAlignment="0" applyProtection="0"/>
    <xf numFmtId="170" fontId="16" fillId="0" borderId="0" applyFont="0" applyFill="0" applyBorder="0" applyAlignment="0" applyProtection="0"/>
    <xf numFmtId="0" fontId="2" fillId="0" borderId="0"/>
    <xf numFmtId="44" fontId="2" fillId="0" borderId="0" applyFont="0" applyFill="0" applyBorder="0" applyAlignment="0" applyProtection="0"/>
  </cellStyleXfs>
  <cellXfs count="1099">
    <xf numFmtId="0" fontId="0" fillId="0" borderId="0" xfId="0"/>
    <xf numFmtId="0" fontId="17" fillId="2" borderId="0" xfId="0" applyFont="1" applyFill="1"/>
    <xf numFmtId="0" fontId="17" fillId="2" borderId="0" xfId="0" applyFont="1" applyFill="1" applyAlignment="1">
      <alignment horizontal="center" vertical="center" wrapText="1"/>
    </xf>
    <xf numFmtId="0" fontId="19" fillId="2" borderId="0" xfId="0" applyFont="1" applyFill="1" applyAlignment="1">
      <alignment horizontal="center"/>
    </xf>
    <xf numFmtId="0" fontId="0" fillId="2" borderId="0" xfId="0" applyFill="1"/>
    <xf numFmtId="0" fontId="20" fillId="0" borderId="4" xfId="0" applyFont="1" applyBorder="1" applyAlignment="1">
      <alignment horizontal="center" vertical="center"/>
    </xf>
    <xf numFmtId="0" fontId="20" fillId="3" borderId="4" xfId="0" applyFont="1" applyFill="1" applyBorder="1" applyAlignment="1">
      <alignment horizontal="center" vertical="center"/>
    </xf>
    <xf numFmtId="0" fontId="21" fillId="2" borderId="0" xfId="0" applyFont="1" applyFill="1"/>
    <xf numFmtId="0" fontId="22" fillId="2" borderId="4" xfId="0" applyFont="1" applyFill="1" applyBorder="1" applyAlignment="1">
      <alignment horizontal="center" vertical="center"/>
    </xf>
    <xf numFmtId="0" fontId="23" fillId="2" borderId="4" xfId="0" applyFont="1" applyFill="1" applyBorder="1" applyAlignment="1">
      <alignment horizontal="center" vertical="center"/>
    </xf>
    <xf numFmtId="2" fontId="23" fillId="4" borderId="4" xfId="0" applyNumberFormat="1" applyFont="1" applyFill="1" applyBorder="1" applyAlignment="1">
      <alignment horizontal="center" vertical="center"/>
    </xf>
    <xf numFmtId="0" fontId="23" fillId="4" borderId="4" xfId="0" applyFont="1" applyFill="1" applyBorder="1" applyAlignment="1">
      <alignment horizontal="center" vertical="center"/>
    </xf>
    <xf numFmtId="164" fontId="23" fillId="3" borderId="4" xfId="1" applyFont="1" applyFill="1" applyBorder="1" applyAlignment="1">
      <alignment vertical="center" wrapText="1"/>
    </xf>
    <xf numFmtId="165" fontId="23" fillId="2" borderId="4" xfId="0" applyNumberFormat="1" applyFont="1" applyFill="1" applyBorder="1" applyAlignment="1">
      <alignment horizontal="center" vertical="center"/>
    </xf>
    <xf numFmtId="166" fontId="24" fillId="5" borderId="4" xfId="0" applyNumberFormat="1" applyFont="1" applyFill="1" applyBorder="1" applyAlignment="1">
      <alignment horizontal="right" vertical="center"/>
    </xf>
    <xf numFmtId="166" fontId="24" fillId="0" borderId="0" xfId="0" applyNumberFormat="1" applyFont="1" applyAlignment="1">
      <alignment horizontal="right" vertical="center"/>
    </xf>
    <xf numFmtId="0" fontId="17" fillId="2" borderId="0" xfId="0" applyFont="1" applyFill="1" applyAlignment="1">
      <alignment vertical="center"/>
    </xf>
    <xf numFmtId="0" fontId="0" fillId="2" borderId="0" xfId="0" applyFill="1" applyAlignment="1">
      <alignment vertical="center"/>
    </xf>
    <xf numFmtId="0" fontId="16" fillId="0" borderId="0" xfId="0" applyFont="1"/>
    <xf numFmtId="0" fontId="25" fillId="2" borderId="0" xfId="0" applyFont="1" applyFill="1" applyAlignment="1">
      <alignment horizontal="center"/>
    </xf>
    <xf numFmtId="0" fontId="0" fillId="2" borderId="0" xfId="0" applyFill="1" applyAlignment="1">
      <alignment horizontal="center"/>
    </xf>
    <xf numFmtId="43" fontId="0" fillId="0" borderId="0" xfId="0" applyNumberFormat="1"/>
    <xf numFmtId="43" fontId="16" fillId="0" borderId="0" xfId="0" applyNumberFormat="1" applyFont="1"/>
    <xf numFmtId="164" fontId="26" fillId="0" borderId="0" xfId="0" applyNumberFormat="1" applyFont="1" applyAlignment="1">
      <alignment horizontal="center"/>
    </xf>
    <xf numFmtId="0" fontId="26" fillId="0" borderId="0" xfId="0" applyFont="1"/>
    <xf numFmtId="2" fontId="26" fillId="0" borderId="0" xfId="0" applyNumberFormat="1" applyFont="1" applyAlignment="1">
      <alignment horizontal="center"/>
    </xf>
    <xf numFmtId="4" fontId="26" fillId="0" borderId="0" xfId="0" applyNumberFormat="1" applyFont="1" applyAlignment="1">
      <alignment horizontal="center"/>
    </xf>
    <xf numFmtId="0" fontId="22" fillId="2" borderId="5" xfId="0" applyFont="1" applyFill="1" applyBorder="1" applyAlignment="1">
      <alignment horizontal="left" vertical="center" wrapText="1"/>
    </xf>
    <xf numFmtId="164" fontId="22" fillId="2" borderId="5" xfId="1" applyFont="1" applyFill="1" applyBorder="1" applyAlignment="1" applyProtection="1">
      <alignment horizontal="center" vertical="center" wrapText="1"/>
    </xf>
    <xf numFmtId="2" fontId="22" fillId="2" borderId="5" xfId="0" applyNumberFormat="1" applyFont="1" applyFill="1" applyBorder="1" applyAlignment="1">
      <alignment horizontal="center" vertical="center" wrapText="1"/>
    </xf>
    <xf numFmtId="0" fontId="22" fillId="2" borderId="5" xfId="0" applyFont="1" applyFill="1" applyBorder="1" applyAlignment="1">
      <alignment horizontal="center" vertical="center" wrapText="1"/>
    </xf>
    <xf numFmtId="2" fontId="22" fillId="6" borderId="5" xfId="0" applyNumberFormat="1" applyFont="1" applyFill="1" applyBorder="1" applyAlignment="1">
      <alignment horizontal="center" vertical="center" wrapText="1"/>
    </xf>
    <xf numFmtId="2" fontId="22" fillId="2" borderId="5" xfId="0" applyNumberFormat="1" applyFont="1" applyFill="1" applyBorder="1" applyAlignment="1">
      <alignment horizontal="center" vertical="center"/>
    </xf>
    <xf numFmtId="0" fontId="27" fillId="2" borderId="5" xfId="2" applyFont="1" applyFill="1" applyBorder="1" applyAlignment="1">
      <alignment horizontal="center" vertical="center"/>
    </xf>
    <xf numFmtId="0" fontId="27" fillId="2" borderId="5" xfId="2" applyFont="1" applyFill="1" applyBorder="1" applyAlignment="1">
      <alignment horizontal="left" vertical="center"/>
    </xf>
    <xf numFmtId="0" fontId="0" fillId="0" borderId="0" xfId="0" applyAlignment="1">
      <alignment horizontal="center"/>
    </xf>
    <xf numFmtId="0" fontId="0" fillId="0" borderId="12" xfId="0" applyBorder="1" applyAlignment="1">
      <alignment horizontal="center"/>
    </xf>
    <xf numFmtId="2" fontId="0" fillId="10" borderId="13" xfId="0" applyNumberFormat="1" applyFill="1"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vertical="center"/>
    </xf>
    <xf numFmtId="0" fontId="0" fillId="0" borderId="0" xfId="0" applyAlignment="1">
      <alignment vertical="center"/>
    </xf>
    <xf numFmtId="0" fontId="0" fillId="0" borderId="16" xfId="0" applyBorder="1" applyAlignment="1">
      <alignment horizontal="center" vertical="center"/>
    </xf>
    <xf numFmtId="0" fontId="0" fillId="0" borderId="17" xfId="0" applyBorder="1" applyAlignment="1">
      <alignment vertical="center"/>
    </xf>
    <xf numFmtId="0" fontId="0" fillId="6" borderId="0" xfId="0" applyFill="1"/>
    <xf numFmtId="0" fontId="15" fillId="6" borderId="18" xfId="0" applyFont="1" applyFill="1" applyBorder="1" applyAlignment="1">
      <alignment vertical="center"/>
    </xf>
    <xf numFmtId="0" fontId="15" fillId="6" borderId="18" xfId="0" applyFont="1" applyFill="1" applyBorder="1" applyAlignment="1">
      <alignment horizontal="center" vertical="center"/>
    </xf>
    <xf numFmtId="0" fontId="28" fillId="6" borderId="19" xfId="0" applyFont="1" applyFill="1" applyBorder="1" applyAlignment="1">
      <alignment horizontal="center" vertical="center"/>
    </xf>
    <xf numFmtId="0" fontId="28" fillId="6" borderId="18" xfId="0" applyFont="1" applyFill="1" applyBorder="1" applyAlignment="1">
      <alignment horizontal="center" vertical="center"/>
    </xf>
    <xf numFmtId="0" fontId="15" fillId="6" borderId="19" xfId="0" applyFont="1" applyFill="1" applyBorder="1" applyAlignment="1">
      <alignment horizontal="center" vertical="center"/>
    </xf>
    <xf numFmtId="0" fontId="15" fillId="6" borderId="20" xfId="0" applyFont="1" applyFill="1" applyBorder="1" applyAlignment="1">
      <alignment horizontal="center" vertical="center"/>
    </xf>
    <xf numFmtId="0" fontId="0" fillId="0" borderId="0" xfId="0" applyAlignment="1">
      <alignment horizontal="center" vertical="center"/>
    </xf>
    <xf numFmtId="2" fontId="31" fillId="0" borderId="0" xfId="0" applyNumberFormat="1" applyFont="1" applyAlignment="1">
      <alignment horizontal="center"/>
    </xf>
    <xf numFmtId="0" fontId="0" fillId="0" borderId="14" xfId="0" applyBorder="1" applyAlignment="1">
      <alignment vertical="center"/>
    </xf>
    <xf numFmtId="0" fontId="0" fillId="0" borderId="9" xfId="0" applyBorder="1" applyAlignment="1">
      <alignment vertical="center"/>
    </xf>
    <xf numFmtId="0" fontId="0" fillId="10" borderId="14" xfId="0" applyFill="1" applyBorder="1" applyAlignment="1">
      <alignment horizontal="center"/>
    </xf>
    <xf numFmtId="4" fontId="34" fillId="0" borderId="24" xfId="3" applyNumberFormat="1" applyFont="1" applyBorder="1" applyAlignment="1">
      <alignment horizontal="center" vertical="center" wrapText="1"/>
    </xf>
    <xf numFmtId="167" fontId="34" fillId="0" borderId="25" xfId="3" applyNumberFormat="1" applyFont="1" applyBorder="1" applyAlignment="1">
      <alignment horizontal="center" vertical="center" wrapText="1"/>
    </xf>
    <xf numFmtId="4" fontId="34" fillId="0" borderId="26" xfId="3" applyNumberFormat="1" applyFont="1" applyBorder="1" applyAlignment="1">
      <alignment horizontal="center" vertical="center" wrapText="1"/>
    </xf>
    <xf numFmtId="4" fontId="34" fillId="0" borderId="27" xfId="3" applyNumberFormat="1" applyFont="1" applyBorder="1" applyAlignment="1">
      <alignment horizontal="center" vertical="center" wrapText="1"/>
    </xf>
    <xf numFmtId="4" fontId="34" fillId="0" borderId="25" xfId="3" applyNumberFormat="1" applyFont="1" applyBorder="1" applyAlignment="1">
      <alignment horizontal="center" vertical="center" wrapText="1"/>
    </xf>
    <xf numFmtId="0" fontId="37" fillId="0" borderId="0" xfId="0" applyFont="1" applyAlignment="1">
      <alignment vertical="center"/>
    </xf>
    <xf numFmtId="0" fontId="38" fillId="0" borderId="32" xfId="0" applyFont="1" applyBorder="1" applyAlignment="1">
      <alignment horizontal="center" wrapText="1"/>
    </xf>
    <xf numFmtId="0" fontId="38" fillId="14" borderId="32" xfId="0" applyFont="1" applyFill="1" applyBorder="1" applyAlignment="1">
      <alignment horizontal="center" vertical="center" wrapText="1"/>
    </xf>
    <xf numFmtId="0" fontId="0" fillId="0" borderId="33" xfId="0" applyBorder="1" applyAlignment="1">
      <alignment horizontal="center" wrapText="1"/>
    </xf>
    <xf numFmtId="0" fontId="0" fillId="0" borderId="34" xfId="0" applyBorder="1" applyAlignment="1">
      <alignment horizontal="center" wrapText="1"/>
    </xf>
    <xf numFmtId="0" fontId="0" fillId="0" borderId="35" xfId="0" applyBorder="1" applyAlignment="1">
      <alignment horizontal="center" wrapText="1"/>
    </xf>
    <xf numFmtId="0" fontId="0" fillId="0" borderId="36" xfId="0" applyBorder="1" applyAlignment="1">
      <alignment horizontal="center" wrapText="1"/>
    </xf>
    <xf numFmtId="0" fontId="0" fillId="0" borderId="37" xfId="0" applyBorder="1" applyAlignment="1">
      <alignment horizontal="center" wrapText="1"/>
    </xf>
    <xf numFmtId="0" fontId="0" fillId="0" borderId="38" xfId="0" applyBorder="1" applyAlignment="1">
      <alignment horizontal="center" wrapText="1"/>
    </xf>
    <xf numFmtId="0" fontId="0" fillId="14" borderId="38" xfId="0" applyFill="1" applyBorder="1" applyAlignment="1">
      <alignment horizontal="center" wrapText="1"/>
    </xf>
    <xf numFmtId="0" fontId="39" fillId="0" borderId="12" xfId="0" applyFont="1" applyBorder="1" applyAlignment="1">
      <alignment vertical="center" wrapText="1"/>
    </xf>
    <xf numFmtId="0" fontId="39" fillId="0" borderId="15" xfId="0" applyFont="1" applyBorder="1" applyAlignment="1">
      <alignment vertical="center" wrapText="1"/>
    </xf>
    <xf numFmtId="0" fontId="39" fillId="0" borderId="16" xfId="0" applyFont="1" applyBorder="1" applyAlignment="1">
      <alignment vertical="center" wrapText="1"/>
    </xf>
    <xf numFmtId="0" fontId="39" fillId="0" borderId="17" xfId="0" applyFont="1" applyBorder="1" applyAlignment="1">
      <alignment vertical="center" wrapText="1"/>
    </xf>
    <xf numFmtId="0" fontId="40" fillId="0" borderId="32" xfId="0" applyFont="1" applyBorder="1" applyAlignment="1">
      <alignment horizontal="center" vertical="center" wrapText="1"/>
    </xf>
    <xf numFmtId="0" fontId="22" fillId="2" borderId="5" xfId="0" applyFont="1" applyFill="1" applyBorder="1" applyAlignment="1">
      <alignment horizontal="center" vertical="center"/>
    </xf>
    <xf numFmtId="0" fontId="22" fillId="0" borderId="5" xfId="0" applyFont="1" applyBorder="1" applyAlignment="1">
      <alignment horizontal="center" vertical="center" wrapText="1"/>
    </xf>
    <xf numFmtId="0" fontId="41" fillId="0" borderId="5" xfId="0" applyFont="1" applyBorder="1" applyAlignment="1">
      <alignment horizontal="center" vertical="center" wrapText="1"/>
    </xf>
    <xf numFmtId="0" fontId="22" fillId="0" borderId="46" xfId="0" applyFont="1" applyBorder="1" applyAlignment="1">
      <alignment horizontal="center" vertical="center"/>
    </xf>
    <xf numFmtId="49" fontId="23" fillId="0" borderId="47" xfId="0" applyNumberFormat="1" applyFont="1" applyBorder="1" applyAlignment="1">
      <alignment vertical="center"/>
    </xf>
    <xf numFmtId="0" fontId="23" fillId="0" borderId="47" xfId="0" applyFont="1" applyBorder="1" applyAlignment="1">
      <alignment vertical="center" wrapText="1"/>
    </xf>
    <xf numFmtId="0" fontId="23" fillId="0" borderId="47" xfId="0" applyFont="1" applyBorder="1" applyAlignment="1">
      <alignment horizontal="center" vertical="center"/>
    </xf>
    <xf numFmtId="2" fontId="23" fillId="0" borderId="47" xfId="0" applyNumberFormat="1" applyFont="1" applyBorder="1" applyAlignment="1">
      <alignment horizontal="center" vertical="center"/>
    </xf>
    <xf numFmtId="164" fontId="23" fillId="0" borderId="47" xfId="1" applyFont="1" applyFill="1" applyBorder="1" applyAlignment="1">
      <alignment horizontal="center" vertical="center" wrapText="1"/>
    </xf>
    <xf numFmtId="164" fontId="23" fillId="0" borderId="47" xfId="1" applyFont="1" applyFill="1" applyBorder="1" applyAlignment="1">
      <alignment vertical="center" wrapText="1"/>
    </xf>
    <xf numFmtId="165" fontId="23" fillId="0" borderId="48" xfId="0" applyNumberFormat="1" applyFont="1" applyBorder="1" applyAlignment="1">
      <alignment horizontal="center" vertical="center"/>
    </xf>
    <xf numFmtId="0" fontId="23" fillId="0" borderId="49" xfId="0" applyFont="1" applyBorder="1" applyAlignment="1">
      <alignment horizontal="center" vertical="center"/>
    </xf>
    <xf numFmtId="0" fontId="21" fillId="0" borderId="0" xfId="0" applyFont="1"/>
    <xf numFmtId="49" fontId="23" fillId="2" borderId="4" xfId="0" applyNumberFormat="1" applyFont="1" applyFill="1" applyBorder="1" applyAlignment="1">
      <alignment horizontal="center" vertical="center"/>
    </xf>
    <xf numFmtId="0" fontId="23" fillId="2" borderId="4" xfId="0" applyFont="1" applyFill="1" applyBorder="1" applyAlignment="1">
      <alignment horizontal="center" vertical="center" wrapText="1"/>
    </xf>
    <xf numFmtId="49" fontId="23" fillId="2" borderId="4" xfId="0" applyNumberFormat="1" applyFont="1" applyFill="1" applyBorder="1" applyAlignment="1">
      <alignment horizontal="center" vertical="center" wrapText="1"/>
    </xf>
    <xf numFmtId="0" fontId="23" fillId="0" borderId="4" xfId="0" applyFont="1" applyBorder="1" applyAlignment="1">
      <alignment horizontal="center" vertical="center" wrapText="1"/>
    </xf>
    <xf numFmtId="49" fontId="23" fillId="0" borderId="4" xfId="0" applyNumberFormat="1" applyFont="1" applyBorder="1" applyAlignment="1">
      <alignment horizontal="center" vertical="center" wrapText="1"/>
    </xf>
    <xf numFmtId="2" fontId="23" fillId="2" borderId="4" xfId="0" applyNumberFormat="1" applyFont="1" applyFill="1" applyBorder="1" applyAlignment="1">
      <alignment horizontal="center" vertical="center"/>
    </xf>
    <xf numFmtId="1" fontId="23" fillId="2" borderId="4" xfId="0" applyNumberFormat="1" applyFont="1" applyFill="1" applyBorder="1" applyAlignment="1">
      <alignment horizontal="center" vertical="center"/>
    </xf>
    <xf numFmtId="49" fontId="23" fillId="0" borderId="4" xfId="0" applyNumberFormat="1" applyFont="1" applyBorder="1" applyAlignment="1">
      <alignment horizontal="center" vertical="center"/>
    </xf>
    <xf numFmtId="0" fontId="23" fillId="0" borderId="4" xfId="0" applyFont="1" applyBorder="1" applyAlignment="1">
      <alignment horizontal="center" vertical="center"/>
    </xf>
    <xf numFmtId="2" fontId="23" fillId="0" borderId="4" xfId="0" applyNumberFormat="1" applyFont="1" applyBorder="1" applyAlignment="1">
      <alignment horizontal="center" vertical="center"/>
    </xf>
    <xf numFmtId="168" fontId="0" fillId="0" borderId="0" xfId="0" applyNumberFormat="1"/>
    <xf numFmtId="0" fontId="14" fillId="0" borderId="0" xfId="5"/>
    <xf numFmtId="0" fontId="23" fillId="0" borderId="32" xfId="5" applyFont="1" applyBorder="1" applyAlignment="1">
      <alignment horizontal="center" vertical="center" wrapText="1"/>
    </xf>
    <xf numFmtId="0" fontId="23" fillId="0" borderId="72" xfId="5" applyFont="1" applyBorder="1" applyAlignment="1">
      <alignment horizontal="center" vertical="center" wrapText="1"/>
    </xf>
    <xf numFmtId="0" fontId="14" fillId="0" borderId="32" xfId="5" applyBorder="1" applyAlignment="1">
      <alignment horizontal="center" vertical="center"/>
    </xf>
    <xf numFmtId="2" fontId="14" fillId="0" borderId="32" xfId="5" applyNumberFormat="1" applyBorder="1" applyAlignment="1">
      <alignment horizontal="center" vertical="center"/>
    </xf>
    <xf numFmtId="0" fontId="14" fillId="0" borderId="70" xfId="5" applyBorder="1" applyAlignment="1">
      <alignment horizontal="center" vertical="center"/>
    </xf>
    <xf numFmtId="43" fontId="14" fillId="0" borderId="32" xfId="4" applyFont="1" applyBorder="1" applyAlignment="1">
      <alignment horizontal="center" vertical="center"/>
    </xf>
    <xf numFmtId="2" fontId="14" fillId="0" borderId="70" xfId="5" applyNumberFormat="1" applyBorder="1" applyAlignment="1">
      <alignment horizontal="center" vertical="center"/>
    </xf>
    <xf numFmtId="43" fontId="14" fillId="0" borderId="70" xfId="4" applyFont="1" applyBorder="1" applyAlignment="1">
      <alignment horizontal="center" vertical="center"/>
    </xf>
    <xf numFmtId="49" fontId="23" fillId="2" borderId="0" xfId="0" applyNumberFormat="1" applyFont="1" applyFill="1" applyAlignment="1">
      <alignment horizontal="center" vertical="center"/>
    </xf>
    <xf numFmtId="10" fontId="23" fillId="0" borderId="0" xfId="0" applyNumberFormat="1" applyFont="1"/>
    <xf numFmtId="43" fontId="46" fillId="3" borderId="4" xfId="4" applyFont="1" applyFill="1" applyBorder="1" applyAlignment="1">
      <alignment vertical="center" wrapText="1"/>
    </xf>
    <xf numFmtId="0" fontId="16" fillId="0" borderId="0" xfId="2"/>
    <xf numFmtId="0" fontId="51" fillId="0" borderId="0" xfId="2" applyFont="1"/>
    <xf numFmtId="0" fontId="49" fillId="0" borderId="0" xfId="2" applyFont="1"/>
    <xf numFmtId="0" fontId="16" fillId="10" borderId="0" xfId="2" applyFill="1"/>
    <xf numFmtId="0" fontId="47" fillId="0" borderId="0" xfId="2" applyFont="1" applyAlignment="1">
      <alignment vertical="top" wrapText="1"/>
    </xf>
    <xf numFmtId="0" fontId="45" fillId="0" borderId="0" xfId="2" applyFont="1" applyAlignment="1">
      <alignment vertical="top" wrapText="1"/>
    </xf>
    <xf numFmtId="0" fontId="55" fillId="0" borderId="83" xfId="6" applyFont="1" applyBorder="1" applyAlignment="1">
      <alignment horizontal="center" vertical="center"/>
    </xf>
    <xf numFmtId="0" fontId="21" fillId="0" borderId="0" xfId="2" applyFont="1"/>
    <xf numFmtId="0" fontId="16" fillId="15" borderId="0" xfId="2" applyFill="1"/>
    <xf numFmtId="171" fontId="63" fillId="16" borderId="72" xfId="10" applyFont="1" applyFill="1" applyBorder="1" applyAlignment="1" applyProtection="1">
      <alignment horizontal="center" vertical="center"/>
    </xf>
    <xf numFmtId="171" fontId="63" fillId="16" borderId="75" xfId="10" applyFont="1" applyFill="1" applyBorder="1" applyAlignment="1" applyProtection="1">
      <alignment horizontal="center" vertical="center"/>
    </xf>
    <xf numFmtId="171" fontId="63" fillId="16" borderId="73" xfId="10" applyFont="1" applyFill="1" applyBorder="1" applyAlignment="1" applyProtection="1">
      <alignment horizontal="center" vertical="center"/>
    </xf>
    <xf numFmtId="49" fontId="63" fillId="16" borderId="32" xfId="2" applyNumberFormat="1" applyFont="1" applyFill="1" applyBorder="1" applyAlignment="1">
      <alignment horizontal="center" vertical="center"/>
    </xf>
    <xf numFmtId="0" fontId="64" fillId="0" borderId="0" xfId="2" applyFont="1" applyAlignment="1">
      <alignment horizontal="center" vertical="center"/>
    </xf>
    <xf numFmtId="0" fontId="63" fillId="0" borderId="52" xfId="2" applyFont="1" applyBorder="1" applyAlignment="1">
      <alignment horizontal="center" vertical="center"/>
    </xf>
    <xf numFmtId="0" fontId="63" fillId="0" borderId="52" xfId="2" applyFont="1" applyBorder="1" applyAlignment="1">
      <alignment horizontal="center"/>
    </xf>
    <xf numFmtId="49" fontId="63" fillId="0" borderId="52" xfId="2" applyNumberFormat="1" applyFont="1" applyBorder="1" applyAlignment="1">
      <alignment horizontal="center" vertical="center"/>
    </xf>
    <xf numFmtId="0" fontId="63" fillId="0" borderId="75" xfId="2" applyFont="1" applyBorder="1" applyAlignment="1">
      <alignment horizontal="center" vertical="center"/>
    </xf>
    <xf numFmtId="0" fontId="63" fillId="0" borderId="75" xfId="9" applyNumberFormat="1" applyFont="1" applyFill="1" applyBorder="1" applyAlignment="1" applyProtection="1">
      <alignment horizontal="center" vertical="center"/>
    </xf>
    <xf numFmtId="170" fontId="63" fillId="0" borderId="75" xfId="9" applyFont="1" applyFill="1" applyBorder="1" applyAlignment="1" applyProtection="1">
      <alignment horizontal="center" vertical="center"/>
    </xf>
    <xf numFmtId="172" fontId="63" fillId="0" borderId="0" xfId="2" applyNumberFormat="1" applyFont="1"/>
    <xf numFmtId="44" fontId="16" fillId="0" borderId="0" xfId="2" applyNumberFormat="1"/>
    <xf numFmtId="170" fontId="63" fillId="0" borderId="0" xfId="9" applyFont="1" applyFill="1" applyBorder="1" applyProtection="1"/>
    <xf numFmtId="0" fontId="49" fillId="6" borderId="23" xfId="2" applyFont="1" applyFill="1" applyBorder="1"/>
    <xf numFmtId="0" fontId="49" fillId="6" borderId="0" xfId="2" applyFont="1" applyFill="1"/>
    <xf numFmtId="0" fontId="56" fillId="6" borderId="0" xfId="2" applyFont="1" applyFill="1"/>
    <xf numFmtId="0" fontId="49" fillId="6" borderId="65" xfId="2" applyFont="1" applyFill="1" applyBorder="1"/>
    <xf numFmtId="0" fontId="49" fillId="6" borderId="77" xfId="2" applyFont="1" applyFill="1" applyBorder="1"/>
    <xf numFmtId="0" fontId="49" fillId="6" borderId="62" xfId="2" applyFont="1" applyFill="1" applyBorder="1"/>
    <xf numFmtId="170" fontId="49" fillId="6" borderId="62" xfId="9" applyFont="1" applyFill="1" applyBorder="1" applyAlignment="1" applyProtection="1">
      <alignment horizontal="center" vertical="center"/>
    </xf>
    <xf numFmtId="170" fontId="49" fillId="6" borderId="62" xfId="9" applyFont="1" applyFill="1" applyBorder="1" applyAlignment="1" applyProtection="1">
      <alignment horizontal="right" vertical="center"/>
    </xf>
    <xf numFmtId="170" fontId="51" fillId="6" borderId="62" xfId="9" applyFont="1" applyFill="1" applyBorder="1" applyAlignment="1" applyProtection="1">
      <alignment horizontal="right" vertical="center"/>
    </xf>
    <xf numFmtId="0" fontId="49" fillId="6" borderId="53" xfId="2" applyFont="1" applyFill="1" applyBorder="1"/>
    <xf numFmtId="0" fontId="31" fillId="0" borderId="68" xfId="5" applyFont="1" applyBorder="1" applyAlignment="1">
      <alignment horizontal="center" vertical="center" wrapText="1"/>
    </xf>
    <xf numFmtId="10" fontId="15" fillId="0" borderId="68" xfId="5" applyNumberFormat="1" applyFont="1" applyBorder="1" applyAlignment="1">
      <alignment horizontal="center" vertical="center"/>
    </xf>
    <xf numFmtId="10" fontId="15" fillId="0" borderId="71" xfId="5" applyNumberFormat="1" applyFont="1" applyBorder="1" applyAlignment="1">
      <alignment horizontal="center" vertical="center"/>
    </xf>
    <xf numFmtId="2" fontId="0" fillId="0" borderId="0" xfId="0" applyNumberFormat="1"/>
    <xf numFmtId="0" fontId="16" fillId="0" borderId="0" xfId="13"/>
    <xf numFmtId="0" fontId="47" fillId="0" borderId="0" xfId="13" applyFont="1" applyAlignment="1">
      <alignment horizontal="center" vertical="center"/>
    </xf>
    <xf numFmtId="0" fontId="16" fillId="0" borderId="0" xfId="13" applyAlignment="1">
      <alignment horizontal="center"/>
    </xf>
    <xf numFmtId="0" fontId="66" fillId="0" borderId="0" xfId="13" applyFont="1"/>
    <xf numFmtId="9" fontId="16" fillId="0" borderId="0" xfId="14" applyFont="1" applyFill="1" applyBorder="1" applyAlignment="1">
      <alignment horizontal="center" vertical="center" wrapText="1"/>
    </xf>
    <xf numFmtId="0" fontId="16" fillId="0" borderId="0" xfId="13" quotePrefix="1" applyAlignment="1">
      <alignment horizontal="center" vertical="center"/>
    </xf>
    <xf numFmtId="0" fontId="16" fillId="0" borderId="0" xfId="13" applyAlignment="1">
      <alignment horizontal="left" vertical="center"/>
    </xf>
    <xf numFmtId="9" fontId="16" fillId="0" borderId="0" xfId="14" quotePrefix="1" applyFont="1" applyFill="1" applyBorder="1" applyAlignment="1">
      <alignment horizontal="center" vertical="center" wrapText="1"/>
    </xf>
    <xf numFmtId="2" fontId="16" fillId="0" borderId="0" xfId="13" quotePrefix="1" applyNumberFormat="1" applyAlignment="1">
      <alignment horizontal="center" vertical="center"/>
    </xf>
    <xf numFmtId="0" fontId="47" fillId="0" borderId="0" xfId="13" applyFont="1" applyAlignment="1">
      <alignment horizontal="center" vertical="center" wrapText="1"/>
    </xf>
    <xf numFmtId="0" fontId="47" fillId="0" borderId="0" xfId="13" applyFont="1"/>
    <xf numFmtId="0" fontId="16" fillId="0" borderId="0" xfId="13" applyAlignment="1">
      <alignment horizontal="center" vertical="center"/>
    </xf>
    <xf numFmtId="0" fontId="67" fillId="0" borderId="0" xfId="13" applyFont="1"/>
    <xf numFmtId="0" fontId="69" fillId="0" borderId="0" xfId="13" applyFont="1" applyAlignment="1">
      <alignment horizontal="center"/>
    </xf>
    <xf numFmtId="0" fontId="16" fillId="0" borderId="8" xfId="13" applyBorder="1" applyAlignment="1">
      <alignment horizontal="left" vertical="center"/>
    </xf>
    <xf numFmtId="0" fontId="16" fillId="0" borderId="18" xfId="13" applyBorder="1" applyAlignment="1">
      <alignment horizontal="left" vertical="center"/>
    </xf>
    <xf numFmtId="0" fontId="35" fillId="0" borderId="18" xfId="13" applyFont="1" applyBorder="1" applyAlignment="1">
      <alignment horizontal="left" vertical="center"/>
    </xf>
    <xf numFmtId="0" fontId="35" fillId="0" borderId="9" xfId="13" applyFont="1" applyBorder="1" applyAlignment="1">
      <alignment horizontal="left" vertical="center"/>
    </xf>
    <xf numFmtId="0" fontId="35" fillId="0" borderId="8" xfId="13" applyFont="1" applyBorder="1" applyAlignment="1">
      <alignment horizontal="left" vertical="center"/>
    </xf>
    <xf numFmtId="0" fontId="35" fillId="0" borderId="22" xfId="13" applyFont="1" applyBorder="1" applyAlignment="1">
      <alignment horizontal="left" vertical="center"/>
    </xf>
    <xf numFmtId="0" fontId="16" fillId="0" borderId="65" xfId="13" applyBorder="1" applyAlignment="1">
      <alignment vertical="center"/>
    </xf>
    <xf numFmtId="0" fontId="16" fillId="0" borderId="0" xfId="13" applyAlignment="1">
      <alignment vertical="center"/>
    </xf>
    <xf numFmtId="0" fontId="47" fillId="0" borderId="64" xfId="13" applyFont="1" applyBorder="1" applyAlignment="1">
      <alignment vertical="center"/>
    </xf>
    <xf numFmtId="9" fontId="16" fillId="0" borderId="65" xfId="14" applyFont="1" applyFill="1" applyBorder="1" applyAlignment="1">
      <alignment horizontal="center" vertical="center" wrapText="1"/>
    </xf>
    <xf numFmtId="0" fontId="16" fillId="0" borderId="64" xfId="13" applyBorder="1" applyAlignment="1">
      <alignment vertical="center"/>
    </xf>
    <xf numFmtId="0" fontId="16" fillId="0" borderId="23" xfId="13" applyBorder="1"/>
    <xf numFmtId="0" fontId="16" fillId="0" borderId="0" xfId="13" applyAlignment="1">
      <alignment vertical="center" wrapText="1"/>
    </xf>
    <xf numFmtId="0" fontId="16" fillId="0" borderId="64" xfId="13" applyBorder="1" applyAlignment="1">
      <alignment vertical="center" wrapText="1"/>
    </xf>
    <xf numFmtId="0" fontId="47" fillId="0" borderId="65" xfId="13" applyFont="1" applyBorder="1" applyAlignment="1">
      <alignment horizontal="center" vertical="center" wrapText="1"/>
    </xf>
    <xf numFmtId="0" fontId="47" fillId="0" borderId="0" xfId="13" applyFont="1" applyAlignment="1">
      <alignment vertical="center" wrapText="1"/>
    </xf>
    <xf numFmtId="0" fontId="47" fillId="0" borderId="64" xfId="13" applyFont="1" applyBorder="1" applyAlignment="1">
      <alignment vertical="center" wrapText="1"/>
    </xf>
    <xf numFmtId="0" fontId="16" fillId="0" borderId="65" xfId="13" applyBorder="1"/>
    <xf numFmtId="0" fontId="16" fillId="0" borderId="64" xfId="13" applyBorder="1"/>
    <xf numFmtId="2" fontId="16" fillId="0" borderId="0" xfId="13" applyNumberFormat="1"/>
    <xf numFmtId="168" fontId="16" fillId="0" borderId="0" xfId="13" applyNumberFormat="1"/>
    <xf numFmtId="0" fontId="58" fillId="0" borderId="0" xfId="7"/>
    <xf numFmtId="14" fontId="16" fillId="0" borderId="0" xfId="13" applyNumberFormat="1"/>
    <xf numFmtId="0" fontId="47" fillId="0" borderId="23" xfId="13" applyFont="1" applyBorder="1"/>
    <xf numFmtId="0" fontId="16" fillId="6" borderId="63" xfId="13" applyFill="1" applyBorder="1" applyAlignment="1">
      <alignment vertical="center"/>
    </xf>
    <xf numFmtId="0" fontId="16" fillId="6" borderId="52" xfId="13" applyFill="1" applyBorder="1" applyAlignment="1">
      <alignment vertical="center"/>
    </xf>
    <xf numFmtId="0" fontId="16" fillId="6" borderId="52" xfId="13" applyFill="1" applyBorder="1"/>
    <xf numFmtId="0" fontId="16" fillId="6" borderId="101" xfId="13" applyFill="1" applyBorder="1"/>
    <xf numFmtId="49" fontId="75" fillId="6" borderId="32" xfId="13" applyNumberFormat="1" applyFont="1" applyFill="1" applyBorder="1" applyAlignment="1">
      <alignment horizontal="center" vertical="center"/>
    </xf>
    <xf numFmtId="0" fontId="47" fillId="15" borderId="32" xfId="13" applyFont="1" applyFill="1" applyBorder="1" applyAlignment="1">
      <alignment horizontal="centerContinuous" vertical="center"/>
    </xf>
    <xf numFmtId="0" fontId="16" fillId="0" borderId="52" xfId="13" applyBorder="1"/>
    <xf numFmtId="0" fontId="47" fillId="14" borderId="73" xfId="13" applyFont="1" applyFill="1" applyBorder="1" applyAlignment="1">
      <alignment horizontal="centerContinuous" vertical="center"/>
    </xf>
    <xf numFmtId="0" fontId="47" fillId="14" borderId="75" xfId="13" applyFont="1" applyFill="1" applyBorder="1" applyAlignment="1">
      <alignment horizontal="centerContinuous" vertical="center"/>
    </xf>
    <xf numFmtId="0" fontId="16" fillId="14" borderId="75" xfId="13" applyFill="1" applyBorder="1" applyAlignment="1">
      <alignment horizontal="centerContinuous"/>
    </xf>
    <xf numFmtId="0" fontId="70" fillId="14" borderId="75" xfId="13" applyFont="1" applyFill="1" applyBorder="1" applyAlignment="1">
      <alignment horizontal="centerContinuous" vertical="center"/>
    </xf>
    <xf numFmtId="0" fontId="77" fillId="14" borderId="72" xfId="13" applyFont="1" applyFill="1" applyBorder="1" applyAlignment="1">
      <alignment horizontal="centerContinuous" vertical="center"/>
    </xf>
    <xf numFmtId="43" fontId="14" fillId="0" borderId="72" xfId="4" applyFont="1" applyBorder="1" applyAlignment="1">
      <alignment horizontal="center" vertical="center"/>
    </xf>
    <xf numFmtId="43" fontId="14" fillId="0" borderId="76" xfId="4" applyFont="1" applyBorder="1" applyAlignment="1">
      <alignment horizontal="center" vertical="center"/>
    </xf>
    <xf numFmtId="0" fontId="14" fillId="0" borderId="29" xfId="5" applyBorder="1"/>
    <xf numFmtId="0" fontId="78" fillId="2" borderId="0" xfId="0" applyFont="1" applyFill="1"/>
    <xf numFmtId="0" fontId="78" fillId="2" borderId="0" xfId="0" applyFont="1" applyFill="1" applyAlignment="1">
      <alignment horizontal="center" vertical="center" wrapText="1"/>
    </xf>
    <xf numFmtId="0" fontId="80" fillId="2" borderId="0" xfId="0" applyFont="1" applyFill="1" applyAlignment="1">
      <alignment horizontal="center"/>
    </xf>
    <xf numFmtId="0" fontId="81" fillId="0" borderId="4" xfId="0" applyFont="1" applyBorder="1" applyAlignment="1">
      <alignment horizontal="center" vertical="center"/>
    </xf>
    <xf numFmtId="0" fontId="81" fillId="0" borderId="4" xfId="0" applyFont="1" applyBorder="1" applyAlignment="1">
      <alignment horizontal="center" vertical="center" wrapText="1"/>
    </xf>
    <xf numFmtId="0" fontId="81" fillId="3" borderId="4" xfId="0" applyFont="1" applyFill="1" applyBorder="1" applyAlignment="1">
      <alignment horizontal="center" vertical="center"/>
    </xf>
    <xf numFmtId="0" fontId="81" fillId="3" borderId="49" xfId="0" applyFont="1" applyFill="1" applyBorder="1" applyAlignment="1">
      <alignment horizontal="center" wrapText="1"/>
    </xf>
    <xf numFmtId="0" fontId="82" fillId="2" borderId="0" xfId="0" applyFont="1" applyFill="1"/>
    <xf numFmtId="0" fontId="81" fillId="2" borderId="4" xfId="0" applyFont="1" applyFill="1" applyBorder="1" applyAlignment="1">
      <alignment horizontal="center" vertical="center"/>
    </xf>
    <xf numFmtId="49" fontId="81" fillId="2" borderId="4" xfId="0" applyNumberFormat="1" applyFont="1" applyFill="1" applyBorder="1" applyAlignment="1">
      <alignment horizontal="center" vertical="center"/>
    </xf>
    <xf numFmtId="2" fontId="81" fillId="4" borderId="4" xfId="0" applyNumberFormat="1" applyFont="1" applyFill="1" applyBorder="1" applyAlignment="1">
      <alignment horizontal="center" vertical="center"/>
    </xf>
    <xf numFmtId="0" fontId="81" fillId="2" borderId="4" xfId="0" applyFont="1" applyFill="1" applyBorder="1" applyAlignment="1">
      <alignment horizontal="center" vertical="center" wrapText="1"/>
    </xf>
    <xf numFmtId="0" fontId="81" fillId="4" borderId="4" xfId="0" applyFont="1" applyFill="1" applyBorder="1" applyAlignment="1">
      <alignment horizontal="center" vertical="center"/>
    </xf>
    <xf numFmtId="2" fontId="81" fillId="4" borderId="0" xfId="0" applyNumberFormat="1" applyFont="1" applyFill="1" applyAlignment="1">
      <alignment horizontal="center" vertical="center"/>
    </xf>
    <xf numFmtId="8" fontId="81" fillId="0" borderId="0" xfId="0" applyNumberFormat="1" applyFont="1"/>
    <xf numFmtId="164" fontId="81" fillId="3" borderId="4" xfId="1" applyFont="1" applyFill="1" applyBorder="1" applyAlignment="1">
      <alignment vertical="center" wrapText="1"/>
    </xf>
    <xf numFmtId="49" fontId="81" fillId="2" borderId="4" xfId="0" applyNumberFormat="1" applyFont="1" applyFill="1" applyBorder="1" applyAlignment="1">
      <alignment horizontal="center" vertical="center" wrapText="1"/>
    </xf>
    <xf numFmtId="2" fontId="81" fillId="2" borderId="4" xfId="0" applyNumberFormat="1" applyFont="1" applyFill="1" applyBorder="1" applyAlignment="1">
      <alignment horizontal="center" vertical="center"/>
    </xf>
    <xf numFmtId="2" fontId="81" fillId="0" borderId="4" xfId="0" applyNumberFormat="1" applyFont="1" applyBorder="1" applyAlignment="1">
      <alignment horizontal="center" vertical="center"/>
    </xf>
    <xf numFmtId="49" fontId="81" fillId="0" borderId="4" xfId="0" applyNumberFormat="1" applyFont="1" applyBorder="1" applyAlignment="1">
      <alignment horizontal="center" vertical="center" wrapText="1"/>
    </xf>
    <xf numFmtId="49" fontId="81" fillId="0" borderId="4" xfId="0" applyNumberFormat="1" applyFont="1" applyBorder="1" applyAlignment="1">
      <alignment horizontal="center" vertical="center"/>
    </xf>
    <xf numFmtId="1" fontId="81" fillId="2" borderId="4" xfId="0" applyNumberFormat="1" applyFont="1" applyFill="1" applyBorder="1" applyAlignment="1">
      <alignment horizontal="center" vertical="center"/>
    </xf>
    <xf numFmtId="0" fontId="81" fillId="2" borderId="84" xfId="0" applyFont="1" applyFill="1" applyBorder="1" applyAlignment="1">
      <alignment horizontal="center" vertical="center"/>
    </xf>
    <xf numFmtId="0" fontId="81" fillId="2" borderId="84" xfId="0" applyFont="1" applyFill="1" applyBorder="1" applyAlignment="1">
      <alignment horizontal="center" vertical="center" wrapText="1"/>
    </xf>
    <xf numFmtId="49" fontId="81" fillId="2" borderId="84" xfId="0" applyNumberFormat="1" applyFont="1" applyFill="1" applyBorder="1" applyAlignment="1">
      <alignment horizontal="center" vertical="center" wrapText="1"/>
    </xf>
    <xf numFmtId="2" fontId="81" fillId="4" borderId="84" xfId="0" applyNumberFormat="1" applyFont="1" applyFill="1" applyBorder="1" applyAlignment="1">
      <alignment horizontal="center" vertical="center"/>
    </xf>
    <xf numFmtId="0" fontId="81" fillId="4" borderId="84" xfId="0" applyFont="1" applyFill="1" applyBorder="1" applyAlignment="1">
      <alignment horizontal="center" vertical="center"/>
    </xf>
    <xf numFmtId="164" fontId="81" fillId="3" borderId="84" xfId="1" applyFont="1" applyFill="1" applyBorder="1" applyAlignment="1">
      <alignment vertical="center" wrapText="1"/>
    </xf>
    <xf numFmtId="166" fontId="81" fillId="19" borderId="85" xfId="0" applyNumberFormat="1" applyFont="1" applyFill="1" applyBorder="1" applyAlignment="1">
      <alignment horizontal="right" vertical="center"/>
    </xf>
    <xf numFmtId="0" fontId="82" fillId="0" borderId="0" xfId="0" applyFont="1"/>
    <xf numFmtId="0" fontId="81" fillId="2" borderId="86" xfId="0" applyFont="1" applyFill="1" applyBorder="1" applyAlignment="1">
      <alignment vertical="center"/>
    </xf>
    <xf numFmtId="0" fontId="81" fillId="2" borderId="87" xfId="0" applyFont="1" applyFill="1" applyBorder="1" applyAlignment="1">
      <alignment vertical="center"/>
    </xf>
    <xf numFmtId="0" fontId="81" fillId="2" borderId="88" xfId="0" applyFont="1" applyFill="1" applyBorder="1" applyAlignment="1">
      <alignment vertical="center"/>
    </xf>
    <xf numFmtId="166" fontId="79" fillId="5" borderId="85" xfId="0" applyNumberFormat="1" applyFont="1" applyFill="1" applyBorder="1" applyAlignment="1">
      <alignment horizontal="right" vertical="center"/>
    </xf>
    <xf numFmtId="0" fontId="78" fillId="2" borderId="0" xfId="0" applyFont="1" applyFill="1" applyAlignment="1">
      <alignment vertical="center"/>
    </xf>
    <xf numFmtId="0" fontId="78" fillId="0" borderId="0" xfId="0" applyFont="1"/>
    <xf numFmtId="2" fontId="78" fillId="0" borderId="0" xfId="0" applyNumberFormat="1" applyFont="1"/>
    <xf numFmtId="43" fontId="78" fillId="0" borderId="0" xfId="0" applyNumberFormat="1" applyFont="1"/>
    <xf numFmtId="0" fontId="78" fillId="0" borderId="0" xfId="0" applyFont="1" applyAlignment="1">
      <alignment vertical="center"/>
    </xf>
    <xf numFmtId="9" fontId="78" fillId="0" borderId="0" xfId="0" applyNumberFormat="1" applyFont="1"/>
    <xf numFmtId="0" fontId="84" fillId="2" borderId="0" xfId="0" applyFont="1" applyFill="1" applyAlignment="1">
      <alignment horizontal="center"/>
    </xf>
    <xf numFmtId="0" fontId="78" fillId="2" borderId="0" xfId="0" applyFont="1" applyFill="1" applyAlignment="1">
      <alignment horizontal="center"/>
    </xf>
    <xf numFmtId="0" fontId="12" fillId="0" borderId="0" xfId="17"/>
    <xf numFmtId="0" fontId="16" fillId="0" borderId="0" xfId="17" applyFont="1"/>
    <xf numFmtId="173" fontId="16" fillId="0" borderId="0" xfId="17" applyNumberFormat="1" applyFont="1"/>
    <xf numFmtId="0" fontId="12" fillId="0" borderId="0" xfId="17" applyAlignment="1">
      <alignment horizontal="center" vertical="center"/>
    </xf>
    <xf numFmtId="173" fontId="12" fillId="0" borderId="0" xfId="17" applyNumberFormat="1"/>
    <xf numFmtId="0" fontId="71" fillId="0" borderId="0" xfId="17" applyFont="1" applyAlignment="1">
      <alignment vertical="center"/>
    </xf>
    <xf numFmtId="0" fontId="85" fillId="14" borderId="0" xfId="13" applyFont="1" applyFill="1" applyAlignment="1">
      <alignment vertical="center" wrapText="1"/>
    </xf>
    <xf numFmtId="0" fontId="85" fillId="14" borderId="0" xfId="13" applyFont="1" applyFill="1" applyAlignment="1">
      <alignment vertical="center"/>
    </xf>
    <xf numFmtId="174" fontId="87" fillId="12" borderId="51" xfId="18" applyNumberFormat="1" applyFont="1" applyFill="1" applyBorder="1" applyAlignment="1" applyProtection="1">
      <alignment horizontal="center" vertical="center"/>
      <protection hidden="1"/>
    </xf>
    <xf numFmtId="0" fontId="85" fillId="14" borderId="87" xfId="13" applyFont="1" applyFill="1" applyBorder="1" applyAlignment="1">
      <alignment vertical="center"/>
    </xf>
    <xf numFmtId="0" fontId="88" fillId="20" borderId="107" xfId="17" applyFont="1" applyFill="1" applyBorder="1" applyAlignment="1">
      <alignment horizontal="center" vertical="center"/>
    </xf>
    <xf numFmtId="0" fontId="88" fillId="20" borderId="108" xfId="17" applyFont="1" applyFill="1" applyBorder="1" applyAlignment="1">
      <alignment horizontal="center" vertical="center"/>
    </xf>
    <xf numFmtId="16" fontId="89" fillId="21" borderId="109" xfId="17" applyNumberFormat="1" applyFont="1" applyFill="1" applyBorder="1" applyAlignment="1">
      <alignment horizontal="center" vertical="center"/>
    </xf>
    <xf numFmtId="0" fontId="12" fillId="0" borderId="0" xfId="17" applyAlignment="1">
      <alignment vertical="center"/>
    </xf>
    <xf numFmtId="0" fontId="15" fillId="0" borderId="4" xfId="13" applyFont="1" applyBorder="1" applyAlignment="1">
      <alignment horizontal="center" vertical="center"/>
    </xf>
    <xf numFmtId="0" fontId="88" fillId="0" borderId="110" xfId="17" applyFont="1" applyBorder="1" applyAlignment="1">
      <alignment horizontal="center" vertical="center"/>
    </xf>
    <xf numFmtId="0" fontId="88" fillId="0" borderId="107" xfId="17" applyFont="1" applyBorder="1" applyAlignment="1">
      <alignment horizontal="center" vertical="center"/>
    </xf>
    <xf numFmtId="0" fontId="88" fillId="0" borderId="108" xfId="17" applyFont="1" applyBorder="1" applyAlignment="1">
      <alignment horizontal="center" vertical="center"/>
    </xf>
    <xf numFmtId="16" fontId="89" fillId="0" borderId="99" xfId="17" applyNumberFormat="1" applyFont="1" applyBorder="1" applyAlignment="1">
      <alignment horizontal="center" vertical="center"/>
    </xf>
    <xf numFmtId="16" fontId="89" fillId="0" borderId="0" xfId="17" applyNumberFormat="1" applyFont="1" applyAlignment="1">
      <alignment horizontal="center" vertical="center"/>
    </xf>
    <xf numFmtId="0" fontId="16" fillId="0" borderId="47" xfId="13" applyBorder="1" applyAlignment="1">
      <alignment horizontal="center" vertical="center"/>
    </xf>
    <xf numFmtId="2" fontId="16" fillId="0" borderId="47" xfId="13" applyNumberFormat="1" applyBorder="1" applyAlignment="1">
      <alignment horizontal="center" vertical="center"/>
    </xf>
    <xf numFmtId="44" fontId="0" fillId="0" borderId="47" xfId="19" applyFont="1" applyBorder="1" applyAlignment="1">
      <alignment vertical="center"/>
    </xf>
    <xf numFmtId="173" fontId="16" fillId="0" borderId="47" xfId="13" applyNumberFormat="1" applyBorder="1" applyAlignment="1">
      <alignment horizontal="center" vertical="center"/>
    </xf>
    <xf numFmtId="0" fontId="90" fillId="10" borderId="110" xfId="17" applyFont="1" applyFill="1" applyBorder="1" applyAlignment="1">
      <alignment horizontal="center" vertical="center"/>
    </xf>
    <xf numFmtId="0" fontId="91" fillId="10" borderId="107" xfId="17" applyFont="1" applyFill="1" applyBorder="1" applyAlignment="1">
      <alignment horizontal="left" vertical="center"/>
    </xf>
    <xf numFmtId="0" fontId="91" fillId="10" borderId="107" xfId="17" applyFont="1" applyFill="1" applyBorder="1" applyAlignment="1">
      <alignment horizontal="center" vertical="center"/>
    </xf>
    <xf numFmtId="175" fontId="91" fillId="10" borderId="107" xfId="17" applyNumberFormat="1" applyFont="1" applyFill="1" applyBorder="1" applyAlignment="1">
      <alignment horizontal="center" vertical="center"/>
    </xf>
    <xf numFmtId="9" fontId="91" fillId="10" borderId="110" xfId="21" applyFont="1" applyFill="1" applyBorder="1" applyAlignment="1">
      <alignment horizontal="center" vertical="center"/>
    </xf>
    <xf numFmtId="173" fontId="91" fillId="10" borderId="107" xfId="17" applyNumberFormat="1" applyFont="1" applyFill="1" applyBorder="1" applyAlignment="1">
      <alignment horizontal="center" vertical="center"/>
    </xf>
    <xf numFmtId="0" fontId="92" fillId="10" borderId="110" xfId="17" applyFont="1" applyFill="1" applyBorder="1" applyAlignment="1">
      <alignment vertical="center"/>
    </xf>
    <xf numFmtId="0" fontId="93" fillId="14" borderId="110" xfId="17" applyFont="1" applyFill="1" applyBorder="1" applyAlignment="1">
      <alignment horizontal="center" vertical="center"/>
    </xf>
    <xf numFmtId="0" fontId="16" fillId="0" borderId="4" xfId="13" applyBorder="1" applyAlignment="1">
      <alignment horizontal="center" vertical="center"/>
    </xf>
    <xf numFmtId="0" fontId="16" fillId="0" borderId="84" xfId="13" applyBorder="1" applyAlignment="1">
      <alignment horizontal="center" vertical="center"/>
    </xf>
    <xf numFmtId="2" fontId="16" fillId="0" borderId="4" xfId="13" applyNumberFormat="1" applyBorder="1" applyAlignment="1">
      <alignment horizontal="center" vertical="center"/>
    </xf>
    <xf numFmtId="44" fontId="0" fillId="0" borderId="4" xfId="19" applyFont="1" applyFill="1" applyBorder="1" applyAlignment="1">
      <alignment vertical="center"/>
    </xf>
    <xf numFmtId="173" fontId="16" fillId="0" borderId="4" xfId="13" applyNumberFormat="1" applyBorder="1" applyAlignment="1">
      <alignment horizontal="center" vertical="center"/>
    </xf>
    <xf numFmtId="0" fontId="16" fillId="0" borderId="112" xfId="13" applyBorder="1" applyAlignment="1">
      <alignment horizontal="center" vertical="center"/>
    </xf>
    <xf numFmtId="0" fontId="16" fillId="0" borderId="85" xfId="13" applyBorder="1" applyAlignment="1">
      <alignment horizontal="center" vertical="center"/>
    </xf>
    <xf numFmtId="0" fontId="91" fillId="10" borderId="107" xfId="17" applyFont="1" applyFill="1" applyBorder="1" applyAlignment="1">
      <alignment vertical="center"/>
    </xf>
    <xf numFmtId="0" fontId="93" fillId="22" borderId="110" xfId="17" applyFont="1" applyFill="1" applyBorder="1" applyAlignment="1">
      <alignment horizontal="center" vertical="center"/>
    </xf>
    <xf numFmtId="2" fontId="12" fillId="0" borderId="0" xfId="17" applyNumberFormat="1" applyAlignment="1">
      <alignment horizontal="center" vertical="center"/>
    </xf>
    <xf numFmtId="0" fontId="16" fillId="0" borderId="4" xfId="13" applyBorder="1" applyAlignment="1">
      <alignment horizontal="left" vertical="center"/>
    </xf>
    <xf numFmtId="44" fontId="0" fillId="0" borderId="4" xfId="19" applyFont="1" applyBorder="1" applyAlignment="1">
      <alignment vertical="center"/>
    </xf>
    <xf numFmtId="0" fontId="94" fillId="0" borderId="0" xfId="17" applyFont="1" applyAlignment="1">
      <alignment horizontal="center" vertical="center"/>
    </xf>
    <xf numFmtId="0" fontId="95" fillId="0" borderId="0" xfId="17" applyFont="1" applyAlignment="1">
      <alignment vertical="center"/>
    </xf>
    <xf numFmtId="0" fontId="95" fillId="0" borderId="0" xfId="17" applyFont="1" applyAlignment="1">
      <alignment horizontal="center" vertical="center"/>
    </xf>
    <xf numFmtId="173" fontId="53" fillId="0" borderId="0" xfId="17" applyNumberFormat="1" applyFont="1" applyAlignment="1">
      <alignment horizontal="center" vertical="center"/>
    </xf>
    <xf numFmtId="0" fontId="96" fillId="0" borderId="4" xfId="17" applyFont="1" applyBorder="1" applyAlignment="1">
      <alignment horizontal="right" vertical="center"/>
    </xf>
    <xf numFmtId="0" fontId="93" fillId="0" borderId="46" xfId="17" applyFont="1" applyBorder="1" applyAlignment="1">
      <alignment horizontal="center" vertical="center"/>
    </xf>
    <xf numFmtId="0" fontId="96" fillId="0" borderId="113" xfId="13" applyFont="1" applyBorder="1" applyAlignment="1">
      <alignment horizontal="center" vertical="center"/>
    </xf>
    <xf numFmtId="0" fontId="12" fillId="0" borderId="114" xfId="17" applyBorder="1"/>
    <xf numFmtId="176" fontId="97" fillId="0" borderId="114" xfId="13" applyNumberFormat="1" applyFont="1" applyBorder="1" applyAlignment="1">
      <alignment horizontal="center" vertical="center"/>
    </xf>
    <xf numFmtId="173" fontId="97" fillId="0" borderId="115" xfId="13" applyNumberFormat="1" applyFont="1" applyBorder="1" applyAlignment="1">
      <alignment horizontal="center" vertical="center"/>
    </xf>
    <xf numFmtId="0" fontId="96" fillId="0" borderId="0" xfId="17" applyFont="1" applyAlignment="1">
      <alignment horizontal="right" vertical="center"/>
    </xf>
    <xf numFmtId="0" fontId="93" fillId="0" borderId="0" xfId="17" applyFont="1" applyAlignment="1">
      <alignment horizontal="center" vertical="center"/>
    </xf>
    <xf numFmtId="176" fontId="97" fillId="0" borderId="0" xfId="13" applyNumberFormat="1" applyFont="1" applyAlignment="1">
      <alignment horizontal="center" vertical="center"/>
    </xf>
    <xf numFmtId="173" fontId="97" fillId="0" borderId="0" xfId="13" applyNumberFormat="1" applyFont="1" applyAlignment="1">
      <alignment horizontal="center" vertical="center"/>
    </xf>
    <xf numFmtId="0" fontId="98" fillId="10" borderId="110" xfId="13" applyFont="1" applyFill="1" applyBorder="1" applyAlignment="1">
      <alignment horizontal="center" vertical="center"/>
    </xf>
    <xf numFmtId="0" fontId="53" fillId="10" borderId="110" xfId="13" applyFont="1" applyFill="1" applyBorder="1" applyAlignment="1">
      <alignment horizontal="left" vertical="center"/>
    </xf>
    <xf numFmtId="0" fontId="16" fillId="23" borderId="110" xfId="13" applyFill="1" applyBorder="1" applyAlignment="1">
      <alignment horizontal="center" vertical="center"/>
    </xf>
    <xf numFmtId="0" fontId="16" fillId="0" borderId="116" xfId="13" applyBorder="1" applyAlignment="1">
      <alignment horizontal="left" vertical="center"/>
    </xf>
    <xf numFmtId="0" fontId="16" fillId="0" borderId="48" xfId="13" applyBorder="1" applyAlignment="1">
      <alignment horizontal="left" vertical="center"/>
    </xf>
    <xf numFmtId="0" fontId="16" fillId="0" borderId="49" xfId="13" applyBorder="1" applyAlignment="1">
      <alignment horizontal="left" vertical="center"/>
    </xf>
    <xf numFmtId="2" fontId="16" fillId="0" borderId="84" xfId="13" applyNumberFormat="1" applyBorder="1" applyAlignment="1">
      <alignment horizontal="center" vertical="center"/>
    </xf>
    <xf numFmtId="44" fontId="0" fillId="0" borderId="84" xfId="19" applyFont="1" applyFill="1" applyBorder="1" applyAlignment="1">
      <alignment vertical="center"/>
    </xf>
    <xf numFmtId="173" fontId="16" fillId="0" borderId="84" xfId="13" applyNumberFormat="1" applyBorder="1" applyAlignment="1">
      <alignment horizontal="center" vertical="center"/>
    </xf>
    <xf numFmtId="0" fontId="98" fillId="0" borderId="0" xfId="13" applyFont="1" applyAlignment="1">
      <alignment horizontal="center" vertical="center"/>
    </xf>
    <xf numFmtId="0" fontId="53" fillId="0" borderId="0" xfId="13" applyFont="1" applyAlignment="1">
      <alignment horizontal="left" vertical="center"/>
    </xf>
    <xf numFmtId="0" fontId="96" fillId="0" borderId="117" xfId="13" applyFont="1" applyBorder="1" applyAlignment="1">
      <alignment horizontal="center" vertical="center"/>
    </xf>
    <xf numFmtId="0" fontId="96" fillId="0" borderId="118" xfId="13" applyFont="1" applyBorder="1" applyAlignment="1">
      <alignment horizontal="center" vertical="center"/>
    </xf>
    <xf numFmtId="176" fontId="97" fillId="0" borderId="118" xfId="13" applyNumberFormat="1" applyFont="1" applyBorder="1" applyAlignment="1">
      <alignment horizontal="center" vertical="center"/>
    </xf>
    <xf numFmtId="173" fontId="97" fillId="0" borderId="118" xfId="13" applyNumberFormat="1" applyFont="1" applyBorder="1" applyAlignment="1">
      <alignment horizontal="center" vertical="center"/>
    </xf>
    <xf numFmtId="173" fontId="97" fillId="0" borderId="119" xfId="13" applyNumberFormat="1" applyFont="1" applyBorder="1" applyAlignment="1">
      <alignment horizontal="center" vertical="center"/>
    </xf>
    <xf numFmtId="0" fontId="12" fillId="0" borderId="120" xfId="17" applyBorder="1"/>
    <xf numFmtId="0" fontId="12" fillId="0" borderId="0" xfId="17" applyAlignment="1">
      <alignment horizontal="center"/>
    </xf>
    <xf numFmtId="4" fontId="12" fillId="0" borderId="0" xfId="17" applyNumberFormat="1"/>
    <xf numFmtId="0" fontId="99" fillId="0" borderId="0" xfId="17" applyFont="1" applyAlignment="1">
      <alignment horizontal="center" vertical="center"/>
    </xf>
    <xf numFmtId="173" fontId="99" fillId="0" borderId="0" xfId="17" applyNumberFormat="1" applyFont="1" applyAlignment="1">
      <alignment horizontal="center" vertical="center"/>
    </xf>
    <xf numFmtId="0" fontId="100" fillId="24" borderId="4" xfId="17" applyFont="1" applyFill="1" applyBorder="1" applyAlignment="1">
      <alignment horizontal="center" vertical="center"/>
    </xf>
    <xf numFmtId="0" fontId="101" fillId="0" borderId="0" xfId="17" applyFont="1" applyAlignment="1">
      <alignment horizontal="center" vertical="center"/>
    </xf>
    <xf numFmtId="0" fontId="96" fillId="0" borderId="0" xfId="13" applyFont="1" applyAlignment="1">
      <alignment horizontal="center" vertical="center"/>
    </xf>
    <xf numFmtId="44" fontId="99" fillId="0" borderId="0" xfId="22" applyFont="1" applyAlignment="1">
      <alignment horizontal="center" vertical="center"/>
    </xf>
    <xf numFmtId="2" fontId="100" fillId="24" borderId="4" xfId="17" applyNumberFormat="1" applyFont="1" applyFill="1" applyBorder="1" applyAlignment="1">
      <alignment horizontal="center" vertical="center"/>
    </xf>
    <xf numFmtId="0" fontId="12" fillId="0" borderId="121" xfId="17" applyBorder="1"/>
    <xf numFmtId="0" fontId="15" fillId="0" borderId="117" xfId="13" applyFont="1" applyBorder="1" applyAlignment="1">
      <alignment horizontal="left" vertical="center"/>
    </xf>
    <xf numFmtId="0" fontId="96" fillId="0" borderId="118" xfId="13" applyFont="1" applyBorder="1" applyAlignment="1">
      <alignment horizontal="left" vertical="center"/>
    </xf>
    <xf numFmtId="0" fontId="12" fillId="0" borderId="118" xfId="17" applyBorder="1" applyAlignment="1">
      <alignment horizontal="left"/>
    </xf>
    <xf numFmtId="173" fontId="101" fillId="0" borderId="119" xfId="13" applyNumberFormat="1" applyFont="1" applyBorder="1" applyAlignment="1">
      <alignment horizontal="center" vertical="center"/>
    </xf>
    <xf numFmtId="0" fontId="12" fillId="0" borderId="0" xfId="17" applyAlignment="1">
      <alignment horizontal="right" vertical="center"/>
    </xf>
    <xf numFmtId="16" fontId="93" fillId="0" borderId="0" xfId="17" applyNumberFormat="1" applyFont="1" applyAlignment="1">
      <alignment horizontal="center" vertical="center"/>
    </xf>
    <xf numFmtId="2" fontId="12" fillId="0" borderId="0" xfId="17" applyNumberFormat="1"/>
    <xf numFmtId="0" fontId="15" fillId="0" borderId="122" xfId="13" applyFont="1" applyBorder="1" applyAlignment="1">
      <alignment horizontal="left" vertical="center"/>
    </xf>
    <xf numFmtId="0" fontId="96" fillId="0" borderId="122" xfId="13" applyFont="1" applyBorder="1" applyAlignment="1">
      <alignment horizontal="left" vertical="center"/>
    </xf>
    <xf numFmtId="0" fontId="12" fillId="0" borderId="122" xfId="17" applyBorder="1" applyAlignment="1">
      <alignment horizontal="left"/>
    </xf>
    <xf numFmtId="173" fontId="101" fillId="0" borderId="123" xfId="13" applyNumberFormat="1" applyFont="1" applyBorder="1" applyAlignment="1">
      <alignment horizontal="center" vertical="center"/>
    </xf>
    <xf numFmtId="2" fontId="102" fillId="0" borderId="46" xfId="17" applyNumberFormat="1" applyFont="1" applyBorder="1" applyAlignment="1">
      <alignment horizontal="left" vertical="center"/>
    </xf>
    <xf numFmtId="2" fontId="60" fillId="0" borderId="4" xfId="17" applyNumberFormat="1" applyFont="1" applyBorder="1" applyAlignment="1">
      <alignment horizontal="center" vertical="center"/>
    </xf>
    <xf numFmtId="0" fontId="103" fillId="0" borderId="124" xfId="13" applyFont="1" applyBorder="1" applyAlignment="1">
      <alignment horizontal="left" vertical="center"/>
    </xf>
    <xf numFmtId="0" fontId="96" fillId="0" borderId="124" xfId="13" applyFont="1" applyBorder="1" applyAlignment="1">
      <alignment horizontal="left" vertical="center"/>
    </xf>
    <xf numFmtId="0" fontId="12" fillId="0" borderId="124" xfId="17" applyBorder="1" applyAlignment="1">
      <alignment horizontal="left"/>
    </xf>
    <xf numFmtId="173" fontId="101" fillId="0" borderId="124" xfId="13" applyNumberFormat="1" applyFont="1" applyBorder="1" applyAlignment="1">
      <alignment horizontal="center" vertical="center"/>
    </xf>
    <xf numFmtId="0" fontId="104" fillId="25" borderId="4" xfId="17" applyFont="1" applyFill="1" applyBorder="1" applyAlignment="1">
      <alignment horizontal="center" vertical="center"/>
    </xf>
    <xf numFmtId="172" fontId="104" fillId="25" borderId="4" xfId="17" applyNumberFormat="1" applyFont="1" applyFill="1" applyBorder="1" applyAlignment="1">
      <alignment horizontal="center" vertical="center"/>
    </xf>
    <xf numFmtId="0" fontId="12" fillId="0" borderId="125" xfId="17" applyBorder="1"/>
    <xf numFmtId="0" fontId="60" fillId="0" borderId="4" xfId="17" applyFont="1" applyBorder="1" applyAlignment="1">
      <alignment horizontal="center" vertical="center"/>
    </xf>
    <xf numFmtId="172" fontId="60" fillId="0" borderId="4" xfId="17" applyNumberFormat="1" applyFont="1" applyBorder="1" applyAlignment="1">
      <alignment horizontal="center" vertical="center"/>
    </xf>
    <xf numFmtId="0" fontId="103" fillId="0" borderId="126" xfId="13" applyFont="1" applyBorder="1" applyAlignment="1">
      <alignment horizontal="left" vertical="center"/>
    </xf>
    <xf numFmtId="0" fontId="105" fillId="0" borderId="0" xfId="17" applyFont="1"/>
    <xf numFmtId="0" fontId="106" fillId="0" borderId="4" xfId="17" applyFont="1" applyBorder="1" applyAlignment="1">
      <alignment horizontal="center" vertical="center"/>
    </xf>
    <xf numFmtId="177" fontId="93" fillId="0" borderId="4" xfId="17" applyNumberFormat="1" applyFont="1" applyBorder="1" applyAlignment="1">
      <alignment horizontal="center" vertical="center"/>
    </xf>
    <xf numFmtId="178" fontId="93" fillId="0" borderId="4" xfId="17" applyNumberFormat="1" applyFont="1" applyBorder="1" applyAlignment="1">
      <alignment horizontal="center" vertical="center"/>
    </xf>
    <xf numFmtId="2" fontId="12" fillId="0" borderId="0" xfId="17" applyNumberFormat="1" applyAlignment="1">
      <alignment horizontal="center"/>
    </xf>
    <xf numFmtId="172" fontId="105" fillId="12" borderId="4" xfId="17" applyNumberFormat="1" applyFont="1" applyFill="1" applyBorder="1" applyAlignment="1">
      <alignment horizontal="center" vertical="center"/>
    </xf>
    <xf numFmtId="3" fontId="105" fillId="0" borderId="4" xfId="17" applyNumberFormat="1" applyFont="1" applyBorder="1" applyAlignment="1">
      <alignment horizontal="center" vertical="center"/>
    </xf>
    <xf numFmtId="0" fontId="12" fillId="0" borderId="127" xfId="17" applyBorder="1"/>
    <xf numFmtId="2" fontId="12" fillId="24" borderId="0" xfId="17" applyNumberFormat="1" applyFill="1"/>
    <xf numFmtId="0" fontId="12" fillId="0" borderId="52" xfId="17" applyBorder="1"/>
    <xf numFmtId="3" fontId="105" fillId="12" borderId="4" xfId="17" applyNumberFormat="1" applyFont="1" applyFill="1" applyBorder="1" applyAlignment="1">
      <alignment horizontal="center" vertical="center"/>
    </xf>
    <xf numFmtId="0" fontId="12" fillId="0" borderId="4" xfId="17" applyBorder="1"/>
    <xf numFmtId="177" fontId="105" fillId="0" borderId="0" xfId="17" applyNumberFormat="1" applyFont="1"/>
    <xf numFmtId="1" fontId="12" fillId="0" borderId="4" xfId="17" applyNumberFormat="1" applyBorder="1" applyAlignment="1">
      <alignment horizontal="center"/>
    </xf>
    <xf numFmtId="0" fontId="107" fillId="0" borderId="4" xfId="17" applyFont="1" applyBorder="1" applyAlignment="1">
      <alignment horizontal="right" vertical="center"/>
    </xf>
    <xf numFmtId="0" fontId="12" fillId="0" borderId="4" xfId="17" applyBorder="1" applyAlignment="1">
      <alignment horizontal="center"/>
    </xf>
    <xf numFmtId="3" fontId="12" fillId="0" borderId="0" xfId="17" applyNumberFormat="1"/>
    <xf numFmtId="9" fontId="12" fillId="0" borderId="0" xfId="16" applyFont="1"/>
    <xf numFmtId="0" fontId="108" fillId="0" borderId="4" xfId="13" applyFont="1" applyBorder="1" applyAlignment="1">
      <alignment horizontal="center" vertical="center"/>
    </xf>
    <xf numFmtId="4" fontId="108" fillId="0" borderId="4" xfId="13" applyNumberFormat="1" applyFont="1" applyBorder="1" applyAlignment="1">
      <alignment vertical="center"/>
    </xf>
    <xf numFmtId="4" fontId="108" fillId="0" borderId="4" xfId="13" applyNumberFormat="1" applyFont="1" applyBorder="1"/>
    <xf numFmtId="44" fontId="16" fillId="0" borderId="0" xfId="15"/>
    <xf numFmtId="44" fontId="16" fillId="0" borderId="0" xfId="13" applyNumberFormat="1"/>
    <xf numFmtId="0" fontId="111" fillId="2" borderId="87" xfId="0" applyFont="1" applyFill="1" applyBorder="1" applyAlignment="1">
      <alignment vertical="center"/>
    </xf>
    <xf numFmtId="0" fontId="11" fillId="0" borderId="0" xfId="23"/>
    <xf numFmtId="0" fontId="115" fillId="24" borderId="0" xfId="23" applyFont="1" applyFill="1" applyAlignment="1">
      <alignment horizontal="center" vertical="center"/>
    </xf>
    <xf numFmtId="0" fontId="11" fillId="0" borderId="131" xfId="23" applyBorder="1"/>
    <xf numFmtId="0" fontId="11" fillId="0" borderId="132" xfId="23" applyBorder="1"/>
    <xf numFmtId="0" fontId="117" fillId="3" borderId="131" xfId="23" applyFont="1" applyFill="1" applyBorder="1" applyAlignment="1">
      <alignment horizontal="center" vertical="center"/>
    </xf>
    <xf numFmtId="0" fontId="117" fillId="3" borderId="0" xfId="23" applyFont="1" applyFill="1" applyAlignment="1">
      <alignment horizontal="center" vertical="center"/>
    </xf>
    <xf numFmtId="0" fontId="117" fillId="3" borderId="132" xfId="23" applyFont="1" applyFill="1" applyBorder="1" applyAlignment="1">
      <alignment horizontal="center" vertical="center"/>
    </xf>
    <xf numFmtId="0" fontId="105" fillId="0" borderId="131" xfId="23" applyFont="1" applyBorder="1" applyAlignment="1">
      <alignment horizontal="center" vertical="center"/>
    </xf>
    <xf numFmtId="0" fontId="105" fillId="0" borderId="0" xfId="23" applyFont="1" applyAlignment="1">
      <alignment horizontal="center" vertical="center"/>
    </xf>
    <xf numFmtId="2" fontId="118" fillId="0" borderId="0" xfId="23" applyNumberFormat="1" applyFont="1" applyAlignment="1">
      <alignment horizontal="center" vertical="center"/>
    </xf>
    <xf numFmtId="3" fontId="105" fillId="0" borderId="0" xfId="23" applyNumberFormat="1" applyFont="1" applyAlignment="1">
      <alignment horizontal="center" vertical="center"/>
    </xf>
    <xf numFmtId="1" fontId="105" fillId="0" borderId="0" xfId="23" applyNumberFormat="1" applyFont="1" applyAlignment="1">
      <alignment horizontal="center" vertical="center"/>
    </xf>
    <xf numFmtId="179" fontId="119" fillId="0" borderId="132" xfId="24" applyNumberFormat="1" applyFont="1" applyFill="1" applyBorder="1" applyAlignment="1">
      <alignment horizontal="center" vertical="center"/>
    </xf>
    <xf numFmtId="179" fontId="120" fillId="0" borderId="132" xfId="24" applyNumberFormat="1" applyFont="1" applyFill="1" applyBorder="1" applyAlignment="1">
      <alignment horizontal="center" vertical="center"/>
    </xf>
    <xf numFmtId="0" fontId="105" fillId="0" borderId="0" xfId="23" applyFont="1"/>
    <xf numFmtId="0" fontId="105" fillId="0" borderId="0" xfId="23" applyFont="1" applyAlignment="1">
      <alignment horizontal="center"/>
    </xf>
    <xf numFmtId="0" fontId="11" fillId="0" borderId="0" xfId="23" applyAlignment="1">
      <alignment horizontal="center" vertical="center"/>
    </xf>
    <xf numFmtId="2" fontId="11" fillId="0" borderId="0" xfId="23" applyNumberFormat="1" applyAlignment="1">
      <alignment horizontal="center" vertical="center"/>
    </xf>
    <xf numFmtId="44" fontId="105" fillId="0" borderId="0" xfId="23" applyNumberFormat="1" applyFont="1" applyAlignment="1">
      <alignment vertical="center"/>
    </xf>
    <xf numFmtId="0" fontId="11" fillId="3" borderId="131" xfId="23" applyFill="1" applyBorder="1"/>
    <xf numFmtId="0" fontId="11" fillId="3" borderId="0" xfId="23" applyFill="1"/>
    <xf numFmtId="0" fontId="121" fillId="3" borderId="0" xfId="23" applyFont="1" applyFill="1" applyAlignment="1">
      <alignment horizontal="center"/>
    </xf>
    <xf numFmtId="179" fontId="121" fillId="3" borderId="132" xfId="23" applyNumberFormat="1" applyFont="1" applyFill="1" applyBorder="1" applyAlignment="1">
      <alignment horizontal="center" vertical="center"/>
    </xf>
    <xf numFmtId="44" fontId="119" fillId="0" borderId="0" xfId="23" applyNumberFormat="1" applyFont="1" applyAlignment="1">
      <alignment vertical="center"/>
    </xf>
    <xf numFmtId="44" fontId="0" fillId="0" borderId="0" xfId="25" applyFont="1"/>
    <xf numFmtId="2" fontId="122" fillId="0" borderId="0" xfId="23" applyNumberFormat="1" applyFont="1" applyAlignment="1">
      <alignment horizontal="center" vertical="center"/>
    </xf>
    <xf numFmtId="0" fontId="105" fillId="0" borderId="133" xfId="23" applyFont="1" applyBorder="1" applyAlignment="1">
      <alignment horizontal="center" vertical="center"/>
    </xf>
    <xf numFmtId="0" fontId="105" fillId="0" borderId="134" xfId="23" applyFont="1" applyBorder="1" applyAlignment="1">
      <alignment horizontal="center" vertical="center"/>
    </xf>
    <xf numFmtId="2" fontId="122" fillId="0" borderId="134" xfId="23" applyNumberFormat="1" applyFont="1" applyBorder="1" applyAlignment="1">
      <alignment horizontal="center" vertical="center"/>
    </xf>
    <xf numFmtId="3" fontId="105" fillId="0" borderId="134" xfId="23" applyNumberFormat="1" applyFont="1" applyBorder="1" applyAlignment="1">
      <alignment horizontal="center" vertical="center"/>
    </xf>
    <xf numFmtId="1" fontId="105" fillId="0" borderId="134" xfId="23" applyNumberFormat="1" applyFont="1" applyBorder="1" applyAlignment="1">
      <alignment horizontal="center" vertical="center"/>
    </xf>
    <xf numFmtId="2" fontId="121" fillId="3" borderId="0" xfId="23" applyNumberFormat="1" applyFont="1" applyFill="1" applyAlignment="1">
      <alignment horizontal="center"/>
    </xf>
    <xf numFmtId="0" fontId="117" fillId="22" borderId="4" xfId="23" applyFont="1" applyFill="1" applyBorder="1" applyAlignment="1">
      <alignment horizontal="center" vertical="center"/>
    </xf>
    <xf numFmtId="0" fontId="117" fillId="22" borderId="46" xfId="23" applyFont="1" applyFill="1" applyBorder="1" applyAlignment="1">
      <alignment horizontal="center" vertical="center"/>
    </xf>
    <xf numFmtId="0" fontId="117" fillId="0" borderId="0" xfId="23" applyFont="1" applyAlignment="1">
      <alignment horizontal="center" vertical="center"/>
    </xf>
    <xf numFmtId="0" fontId="117" fillId="0" borderId="0" xfId="23" applyFont="1" applyAlignment="1">
      <alignment horizontal="center" vertical="center" wrapText="1"/>
    </xf>
    <xf numFmtId="0" fontId="117" fillId="6" borderId="4" xfId="23" applyFont="1" applyFill="1" applyBorder="1" applyAlignment="1">
      <alignment horizontal="center" vertical="center" wrapText="1"/>
    </xf>
    <xf numFmtId="0" fontId="105" fillId="22" borderId="4" xfId="23" applyFont="1" applyFill="1" applyBorder="1" applyAlignment="1">
      <alignment horizontal="center" vertical="center"/>
    </xf>
    <xf numFmtId="2" fontId="105" fillId="22" borderId="46" xfId="23" applyNumberFormat="1" applyFont="1" applyFill="1" applyBorder="1" applyAlignment="1">
      <alignment horizontal="center" vertical="center"/>
    </xf>
    <xf numFmtId="1" fontId="105" fillId="22" borderId="4" xfId="23" applyNumberFormat="1" applyFont="1" applyFill="1" applyBorder="1" applyAlignment="1">
      <alignment horizontal="center" vertical="center"/>
    </xf>
    <xf numFmtId="44" fontId="105" fillId="22" borderId="4" xfId="25" applyFont="1" applyFill="1" applyBorder="1" applyAlignment="1">
      <alignment vertical="center"/>
    </xf>
    <xf numFmtId="44" fontId="11" fillId="0" borderId="0" xfId="23" applyNumberFormat="1"/>
    <xf numFmtId="44" fontId="105" fillId="0" borderId="0" xfId="25" applyFont="1" applyAlignment="1">
      <alignment horizontal="center" vertical="center"/>
    </xf>
    <xf numFmtId="44" fontId="124" fillId="6" borderId="4" xfId="25" applyFont="1" applyFill="1" applyBorder="1" applyAlignment="1">
      <alignment horizontal="center" vertical="center"/>
    </xf>
    <xf numFmtId="0" fontId="61" fillId="13" borderId="0" xfId="23" applyFont="1" applyFill="1" applyAlignment="1">
      <alignment horizontal="center" vertical="center"/>
    </xf>
    <xf numFmtId="2" fontId="61" fillId="13" borderId="0" xfId="23" applyNumberFormat="1" applyFont="1" applyFill="1" applyAlignment="1">
      <alignment horizontal="center" vertical="center"/>
    </xf>
    <xf numFmtId="1" fontId="105" fillId="13" borderId="4" xfId="23" applyNumberFormat="1" applyFont="1" applyFill="1" applyBorder="1" applyAlignment="1">
      <alignment horizontal="center" vertical="center"/>
    </xf>
    <xf numFmtId="44" fontId="61" fillId="13" borderId="0" xfId="25" applyFont="1" applyFill="1" applyBorder="1" applyAlignment="1">
      <alignment horizontal="center" vertical="center"/>
    </xf>
    <xf numFmtId="44" fontId="125" fillId="0" borderId="0" xfId="25" applyFont="1" applyAlignment="1">
      <alignment horizontal="center" vertical="center"/>
    </xf>
    <xf numFmtId="2" fontId="105" fillId="22" borderId="4" xfId="23" applyNumberFormat="1" applyFont="1" applyFill="1" applyBorder="1" applyAlignment="1">
      <alignment horizontal="center" vertical="center"/>
    </xf>
    <xf numFmtId="44" fontId="105" fillId="13" borderId="4" xfId="25" applyFont="1" applyFill="1" applyBorder="1" applyAlignment="1">
      <alignment vertical="center"/>
    </xf>
    <xf numFmtId="2" fontId="105" fillId="0" borderId="0" xfId="23" applyNumberFormat="1" applyFont="1" applyAlignment="1">
      <alignment horizontal="center" vertical="center"/>
    </xf>
    <xf numFmtId="44" fontId="125" fillId="3" borderId="0" xfId="25" applyFont="1" applyFill="1" applyAlignment="1">
      <alignment horizontal="center" vertical="center"/>
    </xf>
    <xf numFmtId="0" fontId="11" fillId="24" borderId="0" xfId="23" applyFill="1"/>
    <xf numFmtId="0" fontId="11" fillId="24" borderId="0" xfId="23" applyFill="1" applyAlignment="1">
      <alignment horizontal="center"/>
    </xf>
    <xf numFmtId="0" fontId="78" fillId="2" borderId="0" xfId="2" applyFont="1" applyFill="1"/>
    <xf numFmtId="0" fontId="83" fillId="26" borderId="0" xfId="2" applyFont="1" applyFill="1" applyAlignment="1">
      <alignment horizontal="center"/>
    </xf>
    <xf numFmtId="0" fontId="79" fillId="27" borderId="0" xfId="2" applyFont="1" applyFill="1" applyAlignment="1">
      <alignment horizontal="center"/>
    </xf>
    <xf numFmtId="0" fontId="78" fillId="2" borderId="0" xfId="2" applyFont="1" applyFill="1" applyAlignment="1">
      <alignment horizontal="center" vertical="center" wrapText="1"/>
    </xf>
    <xf numFmtId="0" fontId="78" fillId="2" borderId="0" xfId="2" applyFont="1" applyFill="1" applyAlignment="1">
      <alignment horizontal="center"/>
    </xf>
    <xf numFmtId="0" fontId="81" fillId="0" borderId="4" xfId="2" applyFont="1" applyBorder="1" applyAlignment="1">
      <alignment horizontal="center" vertical="center"/>
    </xf>
    <xf numFmtId="0" fontId="81" fillId="0" borderId="4" xfId="2" applyFont="1" applyBorder="1" applyAlignment="1">
      <alignment horizontal="center" vertical="center" wrapText="1"/>
    </xf>
    <xf numFmtId="0" fontId="82" fillId="2" borderId="0" xfId="2" applyFont="1" applyFill="1"/>
    <xf numFmtId="0" fontId="78" fillId="0" borderId="0" xfId="2" applyFont="1"/>
    <xf numFmtId="0" fontId="78" fillId="0" borderId="0" xfId="2" applyFont="1" applyAlignment="1">
      <alignment vertical="center"/>
    </xf>
    <xf numFmtId="0" fontId="84" fillId="2" borderId="0" xfId="2" applyFont="1" applyFill="1" applyAlignment="1">
      <alignment horizontal="center"/>
    </xf>
    <xf numFmtId="0" fontId="15" fillId="0" borderId="136" xfId="23" applyFont="1" applyBorder="1" applyAlignment="1">
      <alignment horizontal="center" vertical="center"/>
    </xf>
    <xf numFmtId="0" fontId="11" fillId="0" borderId="25" xfId="23" applyBorder="1" applyAlignment="1">
      <alignment horizontal="justify" vertical="center" wrapText="1"/>
    </xf>
    <xf numFmtId="0" fontId="15" fillId="29" borderId="25" xfId="23" applyFont="1" applyFill="1" applyBorder="1" applyAlignment="1">
      <alignment horizontal="center" vertical="center"/>
    </xf>
    <xf numFmtId="0" fontId="11" fillId="24" borderId="25" xfId="23" applyFill="1" applyBorder="1" applyAlignment="1">
      <alignment horizontal="center" vertical="center"/>
    </xf>
    <xf numFmtId="0" fontId="11" fillId="0" borderId="25" xfId="23" applyBorder="1" applyAlignment="1">
      <alignment horizontal="center" vertical="center"/>
    </xf>
    <xf numFmtId="1" fontId="11" fillId="24" borderId="25" xfId="23" applyNumberFormat="1" applyFill="1" applyBorder="1" applyAlignment="1">
      <alignment horizontal="center" vertical="center"/>
    </xf>
    <xf numFmtId="1" fontId="11" fillId="24" borderId="27" xfId="23" applyNumberFormat="1" applyFill="1" applyBorder="1" applyAlignment="1">
      <alignment horizontal="center" vertical="center"/>
    </xf>
    <xf numFmtId="0" fontId="11" fillId="0" borderId="27" xfId="23" applyBorder="1" applyAlignment="1">
      <alignment horizontal="center" vertical="center"/>
    </xf>
    <xf numFmtId="1" fontId="11" fillId="0" borderId="25" xfId="23" applyNumberFormat="1" applyBorder="1" applyAlignment="1">
      <alignment horizontal="center" vertical="center"/>
    </xf>
    <xf numFmtId="1" fontId="11" fillId="0" borderId="27" xfId="23" applyNumberFormat="1" applyBorder="1" applyAlignment="1">
      <alignment horizontal="center" vertical="center"/>
    </xf>
    <xf numFmtId="0" fontId="15" fillId="0" borderId="0" xfId="23" applyFont="1" applyAlignment="1">
      <alignment vertical="center"/>
    </xf>
    <xf numFmtId="0" fontId="15" fillId="0" borderId="0" xfId="23" applyFont="1" applyAlignment="1">
      <alignment horizontal="center" vertical="center"/>
    </xf>
    <xf numFmtId="172" fontId="11" fillId="0" borderId="25" xfId="23" applyNumberFormat="1" applyBorder="1" applyAlignment="1">
      <alignment horizontal="center" vertical="center"/>
    </xf>
    <xf numFmtId="1" fontId="11" fillId="0" borderId="0" xfId="23" applyNumberFormat="1" applyAlignment="1">
      <alignment horizontal="center" vertical="center"/>
    </xf>
    <xf numFmtId="0" fontId="111" fillId="2" borderId="137" xfId="2" applyFont="1" applyFill="1" applyBorder="1" applyAlignment="1">
      <alignment horizontal="center" vertical="center"/>
    </xf>
    <xf numFmtId="49" fontId="111" fillId="2" borderId="0" xfId="2" applyNumberFormat="1" applyFont="1" applyFill="1" applyAlignment="1">
      <alignment horizontal="left" vertical="center"/>
    </xf>
    <xf numFmtId="49" fontId="111" fillId="2" borderId="0" xfId="2" applyNumberFormat="1" applyFont="1" applyFill="1" applyAlignment="1">
      <alignment horizontal="center" vertical="center" wrapText="1"/>
    </xf>
    <xf numFmtId="0" fontId="111" fillId="2" borderId="0" xfId="2" applyFont="1" applyFill="1" applyAlignment="1">
      <alignment horizontal="center" vertical="center" wrapText="1"/>
    </xf>
    <xf numFmtId="0" fontId="111" fillId="2" borderId="0" xfId="2" applyFont="1" applyFill="1" applyAlignment="1">
      <alignment horizontal="center" vertical="center"/>
    </xf>
    <xf numFmtId="173" fontId="16" fillId="0" borderId="0" xfId="13" applyNumberFormat="1"/>
    <xf numFmtId="44" fontId="0" fillId="0" borderId="0" xfId="15" applyFont="1"/>
    <xf numFmtId="49" fontId="81" fillId="0" borderId="4" xfId="2" applyNumberFormat="1" applyFont="1" applyBorder="1" applyAlignment="1">
      <alignment horizontal="center" vertical="center"/>
    </xf>
    <xf numFmtId="2" fontId="81" fillId="0" borderId="4" xfId="2" applyNumberFormat="1" applyFont="1" applyBorder="1" applyAlignment="1">
      <alignment horizontal="center" vertical="center"/>
    </xf>
    <xf numFmtId="49" fontId="81" fillId="0" borderId="4" xfId="2" applyNumberFormat="1" applyFont="1" applyBorder="1" applyAlignment="1">
      <alignment horizontal="center" vertical="center" wrapText="1"/>
    </xf>
    <xf numFmtId="1" fontId="81" fillId="0" borderId="4" xfId="2" applyNumberFormat="1" applyFont="1" applyBorder="1" applyAlignment="1">
      <alignment horizontal="center" vertical="center"/>
    </xf>
    <xf numFmtId="0" fontId="111" fillId="0" borderId="4" xfId="2" applyFont="1" applyBorder="1" applyAlignment="1">
      <alignment horizontal="center" vertical="center"/>
    </xf>
    <xf numFmtId="49" fontId="111" fillId="0" borderId="4" xfId="2" applyNumberFormat="1" applyFont="1" applyBorder="1" applyAlignment="1">
      <alignment horizontal="center" vertical="center" wrapText="1"/>
    </xf>
    <xf numFmtId="0" fontId="111" fillId="0" borderId="4" xfId="2" applyFont="1" applyBorder="1" applyAlignment="1">
      <alignment horizontal="center" vertical="center" wrapText="1"/>
    </xf>
    <xf numFmtId="0" fontId="111" fillId="0" borderId="84" xfId="2" applyFont="1" applyBorder="1" applyAlignment="1">
      <alignment horizontal="center" vertical="center"/>
    </xf>
    <xf numFmtId="49" fontId="111" fillId="0" borderId="84" xfId="2" applyNumberFormat="1" applyFont="1" applyBorder="1" applyAlignment="1">
      <alignment horizontal="center" vertical="center" wrapText="1"/>
    </xf>
    <xf numFmtId="0" fontId="111" fillId="0" borderId="84" xfId="2" applyFont="1" applyBorder="1" applyAlignment="1">
      <alignment horizontal="center" vertical="center" wrapText="1"/>
    </xf>
    <xf numFmtId="0" fontId="10" fillId="0" borderId="0" xfId="26" applyAlignment="1">
      <alignment horizontal="center" vertical="center"/>
    </xf>
    <xf numFmtId="0" fontId="10" fillId="0" borderId="0" xfId="26"/>
    <xf numFmtId="0" fontId="32" fillId="7" borderId="0" xfId="26" applyFont="1" applyFill="1" applyAlignment="1">
      <alignment horizontal="center"/>
    </xf>
    <xf numFmtId="180" fontId="32" fillId="7" borderId="0" xfId="26" applyNumberFormat="1" applyFont="1" applyFill="1" applyAlignment="1">
      <alignment horizontal="center"/>
    </xf>
    <xf numFmtId="0" fontId="130" fillId="0" borderId="0" xfId="26" applyFont="1" applyAlignment="1">
      <alignment horizontal="center"/>
    </xf>
    <xf numFmtId="180" fontId="130" fillId="0" borderId="0" xfId="26" applyNumberFormat="1" applyFont="1" applyAlignment="1">
      <alignment horizontal="center"/>
    </xf>
    <xf numFmtId="0" fontId="129" fillId="0" borderId="4" xfId="2" applyFont="1" applyBorder="1" applyAlignment="1">
      <alignment horizontal="center" vertical="center" wrapText="1"/>
    </xf>
    <xf numFmtId="0" fontId="82" fillId="0" borderId="0" xfId="2" applyFont="1"/>
    <xf numFmtId="2" fontId="82" fillId="0" borderId="0" xfId="2" applyNumberFormat="1" applyFont="1"/>
    <xf numFmtId="0" fontId="82" fillId="2" borderId="138" xfId="2" applyFont="1" applyFill="1" applyBorder="1"/>
    <xf numFmtId="0" fontId="129" fillId="0" borderId="85" xfId="2" applyFont="1" applyBorder="1" applyAlignment="1">
      <alignment horizontal="center" vertical="center"/>
    </xf>
    <xf numFmtId="0" fontId="129" fillId="0" borderId="85" xfId="2" applyFont="1" applyBorder="1" applyAlignment="1">
      <alignment horizontal="center" vertical="center" wrapText="1"/>
    </xf>
    <xf numFmtId="0" fontId="129" fillId="0" borderId="85" xfId="2" quotePrefix="1" applyFont="1" applyBorder="1" applyAlignment="1">
      <alignment horizontal="center" vertical="center" wrapText="1"/>
    </xf>
    <xf numFmtId="0" fontId="81" fillId="14" borderId="139" xfId="2" applyFont="1" applyFill="1" applyBorder="1" applyAlignment="1">
      <alignment horizontal="center" vertical="center"/>
    </xf>
    <xf numFmtId="0" fontId="81" fillId="14" borderId="139" xfId="2" applyFont="1" applyFill="1" applyBorder="1" applyAlignment="1">
      <alignment horizontal="center" vertical="center" wrapText="1"/>
    </xf>
    <xf numFmtId="44" fontId="0" fillId="0" borderId="0" xfId="0" applyNumberFormat="1"/>
    <xf numFmtId="2" fontId="130" fillId="0" borderId="0" xfId="26" applyNumberFormat="1" applyFont="1" applyAlignment="1">
      <alignment horizontal="center"/>
    </xf>
    <xf numFmtId="0" fontId="8" fillId="0" borderId="0" xfId="31" applyAlignment="1">
      <alignment horizontal="center" vertical="center"/>
    </xf>
    <xf numFmtId="0" fontId="81" fillId="0" borderId="46" xfId="2" applyFont="1" applyBorder="1" applyAlignment="1">
      <alignment horizontal="center" vertical="center"/>
    </xf>
    <xf numFmtId="0" fontId="111" fillId="0" borderId="46" xfId="2" applyFont="1" applyBorder="1" applyAlignment="1">
      <alignment horizontal="center" vertical="center"/>
    </xf>
    <xf numFmtId="0" fontId="111" fillId="0" borderId="116" xfId="2" applyFont="1" applyBorder="1" applyAlignment="1">
      <alignment horizontal="center" vertical="center"/>
    </xf>
    <xf numFmtId="0" fontId="81" fillId="14" borderId="140" xfId="2" applyFont="1" applyFill="1" applyBorder="1" applyAlignment="1">
      <alignment horizontal="center" vertical="center" wrapText="1"/>
    </xf>
    <xf numFmtId="0" fontId="81" fillId="14" borderId="140" xfId="2" applyFont="1" applyFill="1" applyBorder="1" applyAlignment="1">
      <alignment horizontal="center" vertical="center"/>
    </xf>
    <xf numFmtId="171" fontId="133" fillId="14" borderId="4" xfId="31" applyNumberFormat="1" applyFont="1" applyFill="1" applyBorder="1" applyAlignment="1">
      <alignment horizontal="center" vertical="center"/>
    </xf>
    <xf numFmtId="171" fontId="132" fillId="14" borderId="4" xfId="31" applyNumberFormat="1" applyFont="1" applyFill="1" applyBorder="1" applyAlignment="1">
      <alignment horizontal="center" vertical="center"/>
    </xf>
    <xf numFmtId="2" fontId="133" fillId="30" borderId="4" xfId="31" applyNumberFormat="1" applyFont="1" applyFill="1" applyBorder="1" applyAlignment="1">
      <alignment horizontal="center" vertical="center" wrapText="1"/>
    </xf>
    <xf numFmtId="0" fontId="78" fillId="2" borderId="146" xfId="2" applyFont="1" applyFill="1" applyBorder="1" applyAlignment="1">
      <alignment horizontal="center"/>
    </xf>
    <xf numFmtId="0" fontId="78" fillId="2" borderId="147" xfId="2" applyFont="1" applyFill="1" applyBorder="1" applyAlignment="1">
      <alignment horizontal="center"/>
    </xf>
    <xf numFmtId="0" fontId="79" fillId="2" borderId="147" xfId="2" applyFont="1" applyFill="1" applyBorder="1" applyAlignment="1">
      <alignment horizontal="center" vertical="center"/>
    </xf>
    <xf numFmtId="0" fontId="78" fillId="2" borderId="148" xfId="2" applyFont="1" applyFill="1" applyBorder="1" applyAlignment="1">
      <alignment horizontal="center"/>
    </xf>
    <xf numFmtId="0" fontId="79" fillId="2" borderId="0" xfId="2" applyFont="1" applyFill="1" applyAlignment="1">
      <alignment horizontal="center" vertical="center"/>
    </xf>
    <xf numFmtId="8" fontId="134" fillId="0" borderId="4" xfId="2" applyNumberFormat="1" applyFont="1" applyBorder="1"/>
    <xf numFmtId="164" fontId="134" fillId="2" borderId="4" xfId="1" applyFont="1" applyFill="1" applyBorder="1" applyAlignment="1">
      <alignment horizontal="center" vertical="center" wrapText="1"/>
    </xf>
    <xf numFmtId="0" fontId="82" fillId="2" borderId="142" xfId="2" applyFont="1" applyFill="1" applyBorder="1"/>
    <xf numFmtId="0" fontId="82" fillId="0" borderId="0" xfId="2" applyFont="1" applyAlignment="1">
      <alignment horizontal="center" vertical="center"/>
    </xf>
    <xf numFmtId="0" fontId="15" fillId="0" borderId="149" xfId="31" applyFont="1" applyBorder="1" applyAlignment="1">
      <alignment horizontal="center" vertical="center"/>
    </xf>
    <xf numFmtId="181" fontId="8" fillId="0" borderId="149" xfId="31" applyNumberFormat="1" applyBorder="1" applyAlignment="1">
      <alignment horizontal="center" vertical="center"/>
    </xf>
    <xf numFmtId="0" fontId="8" fillId="0" borderId="149" xfId="31" applyBorder="1" applyAlignment="1">
      <alignment horizontal="center" vertical="center"/>
    </xf>
    <xf numFmtId="14" fontId="8" fillId="0" borderId="149" xfId="31" applyNumberFormat="1" applyBorder="1" applyAlignment="1">
      <alignment horizontal="center" vertical="center"/>
    </xf>
    <xf numFmtId="0" fontId="8" fillId="0" borderId="141" xfId="31" applyBorder="1" applyAlignment="1">
      <alignment horizontal="center" vertical="center"/>
    </xf>
    <xf numFmtId="168" fontId="132" fillId="31" borderId="4" xfId="0" applyNumberFormat="1" applyFont="1" applyFill="1" applyBorder="1" applyAlignment="1">
      <alignment horizontal="center" vertical="center"/>
    </xf>
    <xf numFmtId="43" fontId="78" fillId="0" borderId="0" xfId="2" applyNumberFormat="1" applyFont="1" applyAlignment="1">
      <alignment vertical="center"/>
    </xf>
    <xf numFmtId="0" fontId="10" fillId="33" borderId="0" xfId="26" applyFill="1"/>
    <xf numFmtId="0" fontId="10" fillId="34" borderId="0" xfId="26" applyFill="1"/>
    <xf numFmtId="0" fontId="6" fillId="34" borderId="0" xfId="26" applyFont="1" applyFill="1"/>
    <xf numFmtId="0" fontId="130" fillId="0" borderId="0" xfId="26" applyFont="1" applyAlignment="1">
      <alignment horizontal="center" wrapText="1"/>
    </xf>
    <xf numFmtId="1" fontId="130" fillId="0" borderId="0" xfId="26" applyNumberFormat="1" applyFont="1" applyAlignment="1">
      <alignment horizontal="center"/>
    </xf>
    <xf numFmtId="0" fontId="5" fillId="0" borderId="0" xfId="26" applyFont="1" applyAlignment="1">
      <alignment horizontal="center" vertical="center"/>
    </xf>
    <xf numFmtId="1" fontId="128" fillId="0" borderId="0" xfId="26" applyNumberFormat="1" applyFont="1" applyAlignment="1">
      <alignment horizontal="center"/>
    </xf>
    <xf numFmtId="0" fontId="128" fillId="0" borderId="0" xfId="26" applyFont="1" applyAlignment="1">
      <alignment horizontal="center"/>
    </xf>
    <xf numFmtId="44" fontId="16" fillId="0" borderId="0" xfId="15" applyFont="1"/>
    <xf numFmtId="44" fontId="128" fillId="0" borderId="0" xfId="15" applyFont="1" applyAlignment="1">
      <alignment horizontal="center"/>
    </xf>
    <xf numFmtId="4" fontId="128" fillId="0" borderId="0" xfId="26" applyNumberFormat="1" applyFont="1" applyAlignment="1">
      <alignment horizontal="center"/>
    </xf>
    <xf numFmtId="0" fontId="4" fillId="0" borderId="0" xfId="26" applyFont="1"/>
    <xf numFmtId="0" fontId="140" fillId="10" borderId="32" xfId="40" applyFont="1" applyFill="1" applyBorder="1" applyAlignment="1">
      <alignment vertical="center"/>
    </xf>
    <xf numFmtId="0" fontId="141" fillId="0" borderId="32" xfId="40" applyFont="1" applyBorder="1" applyAlignment="1" applyProtection="1">
      <alignment horizontal="left" vertical="center"/>
      <protection locked="0"/>
    </xf>
    <xf numFmtId="0" fontId="142" fillId="6" borderId="0" xfId="40" applyFont="1" applyFill="1"/>
    <xf numFmtId="0" fontId="143" fillId="6" borderId="0" xfId="40" applyFont="1" applyFill="1" applyAlignment="1" applyProtection="1">
      <alignment horizontal="left" vertical="center"/>
      <protection locked="0"/>
    </xf>
    <xf numFmtId="0" fontId="140" fillId="35" borderId="32" xfId="40" applyFont="1" applyFill="1" applyBorder="1" applyAlignment="1">
      <alignment vertical="center"/>
    </xf>
    <xf numFmtId="0" fontId="139" fillId="6" borderId="32" xfId="40" applyFont="1" applyFill="1" applyBorder="1" applyAlignment="1" applyProtection="1">
      <alignment horizontal="left" vertical="center"/>
      <protection locked="0"/>
    </xf>
    <xf numFmtId="0" fontId="144" fillId="6" borderId="0" xfId="40" applyFont="1" applyFill="1"/>
    <xf numFmtId="181" fontId="139" fillId="6" borderId="32" xfId="40" applyNumberFormat="1" applyFont="1" applyFill="1" applyBorder="1" applyAlignment="1" applyProtection="1">
      <alignment horizontal="left" vertical="center"/>
      <protection locked="0"/>
    </xf>
    <xf numFmtId="0" fontId="144" fillId="0" borderId="0" xfId="40" applyFont="1"/>
    <xf numFmtId="183" fontId="139" fillId="6" borderId="32" xfId="40" applyNumberFormat="1" applyFont="1" applyFill="1" applyBorder="1" applyAlignment="1" applyProtection="1">
      <alignment horizontal="left" vertical="center"/>
      <protection locked="0"/>
    </xf>
    <xf numFmtId="49" fontId="143" fillId="6" borderId="0" xfId="40" applyNumberFormat="1" applyFont="1" applyFill="1" applyAlignment="1" applyProtection="1">
      <alignment horizontal="left" vertical="center"/>
      <protection locked="0"/>
    </xf>
    <xf numFmtId="49" fontId="139" fillId="6" borderId="32" xfId="40" applyNumberFormat="1" applyFont="1" applyFill="1" applyBorder="1" applyAlignment="1" applyProtection="1">
      <alignment horizontal="left" vertical="center"/>
      <protection locked="0"/>
    </xf>
    <xf numFmtId="14" fontId="139" fillId="6" borderId="32" xfId="40" applyNumberFormat="1" applyFont="1" applyFill="1" applyBorder="1" applyAlignment="1" applyProtection="1">
      <alignment horizontal="left" vertical="center"/>
      <protection locked="0"/>
    </xf>
    <xf numFmtId="14" fontId="143" fillId="6" borderId="0" xfId="40" applyNumberFormat="1" applyFont="1" applyFill="1" applyAlignment="1" applyProtection="1">
      <alignment horizontal="left" vertical="center"/>
      <protection locked="0"/>
    </xf>
    <xf numFmtId="0" fontId="143" fillId="6" borderId="0" xfId="40" applyFont="1" applyFill="1" applyAlignment="1">
      <alignment horizontal="left" vertical="center"/>
    </xf>
    <xf numFmtId="0" fontId="140" fillId="35" borderId="0" xfId="40" applyFont="1" applyFill="1" applyAlignment="1">
      <alignment vertical="center"/>
    </xf>
    <xf numFmtId="173" fontId="16" fillId="0" borderId="0" xfId="2" applyNumberFormat="1"/>
    <xf numFmtId="0" fontId="16" fillId="0" borderId="0" xfId="2" applyAlignment="1">
      <alignment horizontal="center" vertical="center"/>
    </xf>
    <xf numFmtId="180" fontId="32" fillId="7" borderId="0" xfId="26" applyNumberFormat="1" applyFont="1" applyFill="1" applyAlignment="1">
      <alignment horizontal="center" vertical="center"/>
    </xf>
    <xf numFmtId="0" fontId="9" fillId="0" borderId="0" xfId="26" applyFont="1" applyAlignment="1">
      <alignment horizontal="center" vertical="center"/>
    </xf>
    <xf numFmtId="0" fontId="7" fillId="0" borderId="0" xfId="26" applyFont="1" applyAlignment="1">
      <alignment horizontal="center" vertical="center"/>
    </xf>
    <xf numFmtId="0" fontId="68" fillId="0" borderId="11" xfId="13" applyFont="1" applyBorder="1"/>
    <xf numFmtId="164" fontId="145" fillId="3" borderId="4" xfId="1" applyFont="1" applyFill="1" applyBorder="1" applyAlignment="1">
      <alignment vertical="center" wrapText="1"/>
    </xf>
    <xf numFmtId="2" fontId="145" fillId="4" borderId="4" xfId="2" applyNumberFormat="1" applyFont="1" applyFill="1" applyBorder="1" applyAlignment="1">
      <alignment horizontal="center" vertical="center"/>
    </xf>
    <xf numFmtId="0" fontId="146" fillId="2" borderId="0" xfId="2" applyFont="1" applyFill="1" applyAlignment="1">
      <alignment horizontal="center" vertical="center"/>
    </xf>
    <xf numFmtId="0" fontId="147" fillId="2" borderId="4" xfId="2" applyFont="1" applyFill="1" applyBorder="1" applyAlignment="1">
      <alignment horizontal="center" vertical="center"/>
    </xf>
    <xf numFmtId="2" fontId="147" fillId="4" borderId="4" xfId="2" applyNumberFormat="1" applyFont="1" applyFill="1" applyBorder="1" applyAlignment="1">
      <alignment horizontal="center" vertical="center"/>
    </xf>
    <xf numFmtId="0" fontId="140" fillId="35" borderId="32" xfId="40" applyFont="1" applyFill="1" applyBorder="1" applyAlignment="1">
      <alignment vertical="center" wrapText="1"/>
    </xf>
    <xf numFmtId="0" fontId="4" fillId="0" borderId="0" xfId="26" applyFont="1" applyAlignment="1">
      <alignment horizontal="center"/>
    </xf>
    <xf numFmtId="181" fontId="8" fillId="0" borderId="0" xfId="31" applyNumberFormat="1" applyAlignment="1">
      <alignment horizontal="center" vertical="center"/>
    </xf>
    <xf numFmtId="14" fontId="8" fillId="0" borderId="0" xfId="31" applyNumberFormat="1" applyAlignment="1">
      <alignment horizontal="center" vertical="center"/>
    </xf>
    <xf numFmtId="44" fontId="82" fillId="0" borderId="0" xfId="15" applyFont="1" applyAlignment="1">
      <alignment horizontal="center" vertical="center"/>
    </xf>
    <xf numFmtId="0" fontId="81" fillId="32" borderId="0" xfId="2" applyFont="1" applyFill="1" applyAlignment="1">
      <alignment horizontal="center" vertical="center"/>
    </xf>
    <xf numFmtId="0" fontId="79" fillId="14" borderId="0" xfId="2" applyFont="1" applyFill="1" applyAlignment="1">
      <alignment horizontal="center" vertical="center"/>
    </xf>
    <xf numFmtId="0" fontId="81" fillId="14" borderId="0" xfId="2" applyFont="1" applyFill="1" applyAlignment="1">
      <alignment horizontal="center" vertical="center" wrapText="1"/>
    </xf>
    <xf numFmtId="171" fontId="132" fillId="14" borderId="0" xfId="31" applyNumberFormat="1" applyFont="1" applyFill="1" applyAlignment="1">
      <alignment horizontal="center" vertical="center"/>
    </xf>
    <xf numFmtId="164" fontId="145" fillId="3" borderId="0" xfId="1" applyFont="1" applyFill="1" applyBorder="1" applyAlignment="1">
      <alignment vertical="center" wrapText="1"/>
    </xf>
    <xf numFmtId="0" fontId="3" fillId="0" borderId="0" xfId="26" applyFont="1" applyAlignment="1">
      <alignment horizontal="center" vertical="center"/>
    </xf>
    <xf numFmtId="0" fontId="135" fillId="0" borderId="0" xfId="2" applyFont="1"/>
    <xf numFmtId="0" fontId="15" fillId="15" borderId="0" xfId="2" applyFont="1" applyFill="1" applyAlignment="1">
      <alignment horizontal="center" vertical="center"/>
    </xf>
    <xf numFmtId="2" fontId="149" fillId="15" borderId="0" xfId="2" applyNumberFormat="1" applyFont="1" applyFill="1" applyAlignment="1">
      <alignment horizontal="center" vertical="center"/>
    </xf>
    <xf numFmtId="0" fontId="15" fillId="12" borderId="0" xfId="2" applyFont="1" applyFill="1" applyAlignment="1">
      <alignment vertical="center"/>
    </xf>
    <xf numFmtId="9" fontId="150" fillId="12" borderId="0" xfId="42" applyFont="1" applyFill="1" applyBorder="1" applyAlignment="1">
      <alignment horizontal="center" vertical="center"/>
    </xf>
    <xf numFmtId="9" fontId="0" fillId="0" borderId="0" xfId="42" applyFont="1" applyAlignment="1">
      <alignment horizontal="center" vertical="center"/>
    </xf>
    <xf numFmtId="0" fontId="71" fillId="0" borderId="0" xfId="2" applyFont="1" applyAlignment="1">
      <alignment vertical="center"/>
    </xf>
    <xf numFmtId="9" fontId="16" fillId="0" borderId="0" xfId="2" applyNumberFormat="1"/>
    <xf numFmtId="0" fontId="47" fillId="0" borderId="0" xfId="2" applyFont="1" applyAlignment="1">
      <alignment horizontal="center" vertical="center"/>
    </xf>
    <xf numFmtId="0" fontId="153" fillId="20" borderId="107" xfId="2" applyFont="1" applyFill="1" applyBorder="1" applyAlignment="1">
      <alignment horizontal="center" vertical="center"/>
    </xf>
    <xf numFmtId="0" fontId="153" fillId="20" borderId="108" xfId="2" applyFont="1" applyFill="1" applyBorder="1" applyAlignment="1">
      <alignment horizontal="center" vertical="center"/>
    </xf>
    <xf numFmtId="16" fontId="89" fillId="21" borderId="109" xfId="2" applyNumberFormat="1" applyFont="1" applyFill="1" applyBorder="1" applyAlignment="1">
      <alignment horizontal="center" vertical="center"/>
    </xf>
    <xf numFmtId="0" fontId="135" fillId="0" borderId="0" xfId="2" applyFont="1" applyAlignment="1">
      <alignment vertical="center"/>
    </xf>
    <xf numFmtId="0" fontId="15" fillId="0" borderId="141" xfId="43" applyFont="1" applyBorder="1" applyAlignment="1">
      <alignment horizontal="center" vertical="center"/>
    </xf>
    <xf numFmtId="0" fontId="15" fillId="22" borderId="141" xfId="43" applyFont="1" applyFill="1" applyBorder="1" applyAlignment="1">
      <alignment horizontal="center" vertical="center"/>
    </xf>
    <xf numFmtId="0" fontId="16" fillId="0" borderId="0" xfId="2" applyAlignment="1">
      <alignment vertical="center"/>
    </xf>
    <xf numFmtId="0" fontId="68" fillId="24" borderId="0" xfId="2" applyFont="1" applyFill="1" applyAlignment="1">
      <alignment horizontal="center" vertical="center"/>
    </xf>
    <xf numFmtId="0" fontId="88" fillId="0" borderId="110" xfId="2" applyFont="1" applyBorder="1" applyAlignment="1">
      <alignment horizontal="center" vertical="center"/>
    </xf>
    <xf numFmtId="16" fontId="89" fillId="0" borderId="99" xfId="2" applyNumberFormat="1" applyFont="1" applyBorder="1" applyAlignment="1">
      <alignment horizontal="center" vertical="center"/>
    </xf>
    <xf numFmtId="16" fontId="89" fillId="0" borderId="0" xfId="2" applyNumberFormat="1" applyFont="1" applyAlignment="1">
      <alignment horizontal="center" vertical="center"/>
    </xf>
    <xf numFmtId="0" fontId="16" fillId="22" borderId="0" xfId="2" applyFill="1" applyAlignment="1">
      <alignment vertical="center"/>
    </xf>
    <xf numFmtId="0" fontId="90" fillId="10" borderId="110" xfId="2" applyFont="1" applyFill="1" applyBorder="1" applyAlignment="1">
      <alignment horizontal="center" vertical="center"/>
    </xf>
    <xf numFmtId="175" fontId="91" fillId="10" borderId="107" xfId="2" applyNumberFormat="1" applyFont="1" applyFill="1" applyBorder="1" applyAlignment="1">
      <alignment horizontal="center" vertical="center"/>
    </xf>
    <xf numFmtId="0" fontId="91" fillId="10" borderId="110" xfId="2" applyFont="1" applyFill="1" applyBorder="1" applyAlignment="1">
      <alignment vertical="center" wrapText="1"/>
    </xf>
    <xf numFmtId="0" fontId="16" fillId="14" borderId="110" xfId="2" applyFill="1" applyBorder="1" applyAlignment="1">
      <alignment horizontal="center" vertical="center"/>
    </xf>
    <xf numFmtId="0" fontId="155" fillId="14" borderId="110" xfId="2" applyFont="1" applyFill="1" applyBorder="1" applyAlignment="1">
      <alignment horizontal="center" vertical="center"/>
    </xf>
    <xf numFmtId="2" fontId="154" fillId="0" borderId="0" xfId="2" applyNumberFormat="1" applyFont="1" applyAlignment="1">
      <alignment horizontal="center" vertical="center"/>
    </xf>
    <xf numFmtId="0" fontId="151" fillId="0" borderId="4" xfId="43" applyBorder="1" applyAlignment="1">
      <alignment horizontal="center" vertical="center"/>
    </xf>
    <xf numFmtId="0" fontId="151" fillId="0" borderId="4" xfId="43" applyBorder="1" applyAlignment="1">
      <alignment horizontal="center" vertical="center" wrapText="1"/>
    </xf>
    <xf numFmtId="0" fontId="151" fillId="0" borderId="4" xfId="43" applyBorder="1" applyAlignment="1">
      <alignment horizontal="left" vertical="center"/>
    </xf>
    <xf numFmtId="175" fontId="151" fillId="0" borderId="4" xfId="43" applyNumberFormat="1" applyBorder="1" applyAlignment="1">
      <alignment horizontal="center" vertical="center"/>
    </xf>
    <xf numFmtId="2" fontId="151" fillId="0" borderId="4" xfId="43" applyNumberFormat="1" applyBorder="1" applyAlignment="1">
      <alignment horizontal="center" vertical="center"/>
    </xf>
    <xf numFmtId="1" fontId="151" fillId="0" borderId="4" xfId="43" applyNumberFormat="1" applyBorder="1" applyAlignment="1">
      <alignment horizontal="center" vertical="center"/>
    </xf>
    <xf numFmtId="164" fontId="16" fillId="0" borderId="4" xfId="44" applyFill="1" applyBorder="1" applyAlignment="1">
      <alignment vertical="center"/>
    </xf>
    <xf numFmtId="0" fontId="151" fillId="22" borderId="85" xfId="43" applyFill="1" applyBorder="1" applyAlignment="1">
      <alignment horizontal="center" vertical="center"/>
    </xf>
    <xf numFmtId="173" fontId="151" fillId="0" borderId="4" xfId="43" applyNumberFormat="1" applyBorder="1" applyAlignment="1">
      <alignment horizontal="center" vertical="center"/>
    </xf>
    <xf numFmtId="0" fontId="143" fillId="14" borderId="110" xfId="2" applyFont="1" applyFill="1" applyBorder="1" applyAlignment="1">
      <alignment horizontal="center" vertical="center"/>
    </xf>
    <xf numFmtId="43" fontId="16" fillId="0" borderId="0" xfId="2" applyNumberFormat="1"/>
    <xf numFmtId="0" fontId="91" fillId="10" borderId="107" xfId="2" applyFont="1" applyFill="1" applyBorder="1" applyAlignment="1">
      <alignment vertical="center"/>
    </xf>
    <xf numFmtId="0" fontId="136" fillId="14" borderId="110" xfId="2" applyFont="1" applyFill="1" applyBorder="1" applyAlignment="1">
      <alignment horizontal="center" vertical="center"/>
    </xf>
    <xf numFmtId="0" fontId="94" fillId="0" borderId="0" xfId="2" applyFont="1" applyAlignment="1">
      <alignment horizontal="center" vertical="center"/>
    </xf>
    <xf numFmtId="0" fontId="95" fillId="0" borderId="0" xfId="2" applyFont="1" applyAlignment="1">
      <alignment vertical="center"/>
    </xf>
    <xf numFmtId="0" fontId="96" fillId="0" borderId="4" xfId="2" applyFont="1" applyBorder="1" applyAlignment="1">
      <alignment horizontal="right" vertical="center"/>
    </xf>
    <xf numFmtId="1" fontId="93" fillId="0" borderId="46" xfId="2" applyNumberFormat="1" applyFont="1" applyBorder="1" applyAlignment="1">
      <alignment horizontal="center" vertical="center"/>
    </xf>
    <xf numFmtId="2" fontId="131" fillId="0" borderId="0" xfId="2" applyNumberFormat="1" applyFont="1" applyAlignment="1">
      <alignment horizontal="center" vertical="center"/>
    </xf>
    <xf numFmtId="0" fontId="156" fillId="0" borderId="48" xfId="43" applyFont="1" applyBorder="1" applyAlignment="1">
      <alignment horizontal="centerContinuous" vertical="center"/>
    </xf>
    <xf numFmtId="1" fontId="156" fillId="0" borderId="48" xfId="2" applyNumberFormat="1" applyFont="1" applyBorder="1" applyAlignment="1">
      <alignment horizontal="centerContinuous" vertical="center"/>
    </xf>
    <xf numFmtId="0" fontId="156" fillId="0" borderId="48" xfId="2" applyFont="1" applyBorder="1" applyAlignment="1">
      <alignment horizontal="centerContinuous"/>
    </xf>
    <xf numFmtId="0" fontId="156" fillId="0" borderId="49" xfId="2" applyFont="1" applyBorder="1" applyAlignment="1">
      <alignment horizontal="centerContinuous"/>
    </xf>
    <xf numFmtId="173" fontId="71" fillId="0" borderId="85" xfId="43" applyNumberFormat="1" applyFont="1" applyBorder="1" applyAlignment="1">
      <alignment horizontal="center" vertical="center"/>
    </xf>
    <xf numFmtId="4" fontId="53" fillId="0" borderId="0" xfId="2" applyNumberFormat="1" applyFont="1" applyAlignment="1">
      <alignment horizontal="center" vertical="center"/>
    </xf>
    <xf numFmtId="0" fontId="96" fillId="0" borderId="0" xfId="2" applyFont="1" applyAlignment="1">
      <alignment horizontal="left" vertical="center"/>
    </xf>
    <xf numFmtId="0" fontId="157" fillId="0" borderId="0" xfId="2" applyFont="1" applyAlignment="1">
      <alignment horizontal="center" vertical="center"/>
    </xf>
    <xf numFmtId="0" fontId="138" fillId="0" borderId="0" xfId="2" applyFont="1" applyAlignment="1">
      <alignment vertical="center"/>
    </xf>
    <xf numFmtId="0" fontId="93" fillId="0" borderId="0" xfId="2" applyFont="1" applyAlignment="1">
      <alignment horizontal="center" vertical="center"/>
    </xf>
    <xf numFmtId="4" fontId="16" fillId="0" borderId="0" xfId="2" applyNumberFormat="1"/>
    <xf numFmtId="0" fontId="15" fillId="0" borderId="4" xfId="2" applyFont="1" applyBorder="1" applyAlignment="1">
      <alignment vertical="center"/>
    </xf>
    <xf numFmtId="0" fontId="101" fillId="0" borderId="0" xfId="2" applyFont="1" applyAlignment="1">
      <alignment horizontal="center" vertical="center"/>
    </xf>
    <xf numFmtId="0" fontId="127" fillId="24" borderId="4" xfId="2" applyFont="1" applyFill="1" applyBorder="1" applyAlignment="1">
      <alignment horizontal="center" vertical="center"/>
    </xf>
    <xf numFmtId="44" fontId="16" fillId="0" borderId="0" xfId="45" applyFont="1" applyAlignment="1">
      <alignment vertical="center"/>
    </xf>
    <xf numFmtId="0" fontId="16" fillId="0" borderId="0" xfId="2" applyAlignment="1">
      <alignment horizontal="right" vertical="center"/>
    </xf>
    <xf numFmtId="16" fontId="93" fillId="0" borderId="0" xfId="2" applyNumberFormat="1" applyFont="1" applyAlignment="1">
      <alignment horizontal="center" vertical="center"/>
    </xf>
    <xf numFmtId="2" fontId="135" fillId="0" borderId="0" xfId="2" applyNumberFormat="1" applyFont="1"/>
    <xf numFmtId="2" fontId="102" fillId="0" borderId="46" xfId="2" applyNumberFormat="1" applyFont="1" applyBorder="1" applyAlignment="1">
      <alignment horizontal="left" vertical="center"/>
    </xf>
    <xf numFmtId="2" fontId="60" fillId="0" borderId="4" xfId="2" applyNumberFormat="1" applyFont="1" applyBorder="1" applyAlignment="1">
      <alignment horizontal="center" vertical="center"/>
    </xf>
    <xf numFmtId="0" fontId="104" fillId="25" borderId="4" xfId="2" applyFont="1" applyFill="1" applyBorder="1" applyAlignment="1">
      <alignment horizontal="center" vertical="center"/>
    </xf>
    <xf numFmtId="172" fontId="104" fillId="25" borderId="4" xfId="2" applyNumberFormat="1" applyFont="1" applyFill="1" applyBorder="1" applyAlignment="1">
      <alignment horizontal="center" vertical="center"/>
    </xf>
    <xf numFmtId="0" fontId="60" fillId="0" borderId="4" xfId="2" applyFont="1" applyBorder="1" applyAlignment="1">
      <alignment horizontal="center" vertical="center"/>
    </xf>
    <xf numFmtId="172" fontId="60" fillId="0" borderId="4" xfId="2" applyNumberFormat="1" applyFont="1" applyBorder="1" applyAlignment="1">
      <alignment horizontal="center" vertical="center"/>
    </xf>
    <xf numFmtId="9" fontId="0" fillId="0" borderId="0" xfId="42" applyFont="1"/>
    <xf numFmtId="0" fontId="106" fillId="0" borderId="4" xfId="2" applyFont="1" applyBorder="1" applyAlignment="1">
      <alignment horizontal="center" vertical="center"/>
    </xf>
    <xf numFmtId="16" fontId="93" fillId="0" borderId="4" xfId="2" applyNumberFormat="1" applyFont="1" applyBorder="1" applyAlignment="1">
      <alignment horizontal="center" vertical="center"/>
    </xf>
    <xf numFmtId="2" fontId="16" fillId="0" borderId="0" xfId="2" applyNumberFormat="1"/>
    <xf numFmtId="172" fontId="105" fillId="12" borderId="4" xfId="2" applyNumberFormat="1" applyFont="1" applyFill="1" applyBorder="1" applyAlignment="1">
      <alignment horizontal="center" vertical="center"/>
    </xf>
    <xf numFmtId="2" fontId="105" fillId="0" borderId="4" xfId="2" applyNumberFormat="1" applyFont="1" applyBorder="1" applyAlignment="1">
      <alignment horizontal="center" vertical="center"/>
    </xf>
    <xf numFmtId="2" fontId="105" fillId="12" borderId="4" xfId="2" applyNumberFormat="1" applyFont="1" applyFill="1" applyBorder="1" applyAlignment="1">
      <alignment horizontal="center" vertical="center"/>
    </xf>
    <xf numFmtId="0" fontId="16" fillId="0" borderId="4" xfId="2" applyBorder="1"/>
    <xf numFmtId="184" fontId="93" fillId="0" borderId="4" xfId="2" applyNumberFormat="1" applyFont="1" applyBorder="1" applyAlignment="1">
      <alignment horizontal="center" vertical="center"/>
    </xf>
    <xf numFmtId="1" fontId="16" fillId="0" borderId="4" xfId="2" applyNumberFormat="1" applyBorder="1" applyAlignment="1">
      <alignment horizontal="center"/>
    </xf>
    <xf numFmtId="0" fontId="107" fillId="0" borderId="4" xfId="2" applyFont="1" applyBorder="1" applyAlignment="1">
      <alignment horizontal="right" vertical="center"/>
    </xf>
    <xf numFmtId="0" fontId="16" fillId="0" borderId="4" xfId="2" applyBorder="1" applyAlignment="1">
      <alignment horizontal="center"/>
    </xf>
    <xf numFmtId="0" fontId="160" fillId="20" borderId="14" xfId="0" applyFont="1" applyFill="1" applyBorder="1" applyAlignment="1">
      <alignment horizontal="center" vertical="center"/>
    </xf>
    <xf numFmtId="0" fontId="23" fillId="6" borderId="14" xfId="0" applyFont="1" applyFill="1" applyBorder="1" applyAlignment="1">
      <alignment horizontal="center" vertical="center" wrapText="1"/>
    </xf>
    <xf numFmtId="0" fontId="23" fillId="6" borderId="14" xfId="0" applyFont="1" applyFill="1" applyBorder="1" applyAlignment="1">
      <alignment horizontal="left" vertical="center" wrapText="1"/>
    </xf>
    <xf numFmtId="0" fontId="23" fillId="6" borderId="14" xfId="0" applyFont="1" applyFill="1" applyBorder="1" applyAlignment="1">
      <alignment horizontal="center" vertical="center"/>
    </xf>
    <xf numFmtId="173" fontId="23" fillId="36" borderId="14" xfId="0" applyNumberFormat="1" applyFont="1" applyFill="1" applyBorder="1" applyAlignment="1">
      <alignment horizontal="center" vertical="center"/>
    </xf>
    <xf numFmtId="0" fontId="0" fillId="0" borderId="14" xfId="0" applyBorder="1"/>
    <xf numFmtId="0" fontId="23" fillId="0" borderId="14" xfId="0" applyFont="1" applyBorder="1" applyAlignment="1">
      <alignment horizontal="center" vertical="center"/>
    </xf>
    <xf numFmtId="0" fontId="0" fillId="0" borderId="14" xfId="0" applyBorder="1" applyAlignment="1">
      <alignment horizontal="center"/>
    </xf>
    <xf numFmtId="173" fontId="0" fillId="0" borderId="14" xfId="0" applyNumberFormat="1" applyBorder="1"/>
    <xf numFmtId="170" fontId="0" fillId="0" borderId="0" xfId="46" applyFont="1" applyAlignment="1">
      <alignment horizontal="center"/>
    </xf>
    <xf numFmtId="173" fontId="0" fillId="0" borderId="14" xfId="0" applyNumberFormat="1" applyBorder="1" applyAlignment="1">
      <alignment vertical="center"/>
    </xf>
    <xf numFmtId="173" fontId="0" fillId="0" borderId="0" xfId="0" applyNumberFormat="1"/>
    <xf numFmtId="9" fontId="0" fillId="0" borderId="0" xfId="16" applyFont="1"/>
    <xf numFmtId="0" fontId="23" fillId="0" borderId="159" xfId="0" applyFont="1" applyBorder="1" applyAlignment="1">
      <alignment horizontal="center" vertical="center"/>
    </xf>
    <xf numFmtId="0" fontId="2" fillId="0" borderId="0" xfId="47"/>
    <xf numFmtId="0" fontId="128" fillId="0" borderId="0" xfId="47" applyFont="1" applyAlignment="1">
      <alignment horizontal="center" vertical="center"/>
    </xf>
    <xf numFmtId="4" fontId="2" fillId="0" borderId="0" xfId="47" applyNumberFormat="1" applyAlignment="1">
      <alignment horizontal="center" vertical="center"/>
    </xf>
    <xf numFmtId="0" fontId="2" fillId="0" borderId="0" xfId="47" applyAlignment="1">
      <alignment horizontal="center"/>
    </xf>
    <xf numFmtId="0" fontId="0" fillId="0" borderId="0" xfId="2" applyFont="1"/>
    <xf numFmtId="44" fontId="163" fillId="0" borderId="0" xfId="15" applyFont="1" applyAlignment="1">
      <alignment horizontal="center" vertical="center"/>
    </xf>
    <xf numFmtId="173" fontId="2" fillId="0" borderId="0" xfId="47" applyNumberFormat="1"/>
    <xf numFmtId="44" fontId="2" fillId="0" borderId="0" xfId="47" applyNumberFormat="1"/>
    <xf numFmtId="12" fontId="81" fillId="0" borderId="4" xfId="2" applyNumberFormat="1" applyFont="1" applyBorder="1" applyAlignment="1">
      <alignment horizontal="center" vertical="center"/>
    </xf>
    <xf numFmtId="0" fontId="1" fillId="0" borderId="0" xfId="47" applyFont="1"/>
    <xf numFmtId="44" fontId="2" fillId="0" borderId="0" xfId="15" applyFont="1"/>
    <xf numFmtId="8" fontId="2" fillId="0" borderId="0" xfId="47" applyNumberFormat="1"/>
    <xf numFmtId="44" fontId="0" fillId="0" borderId="0" xfId="15" applyFont="1" applyAlignment="1">
      <alignment horizontal="center"/>
    </xf>
    <xf numFmtId="8" fontId="0" fillId="0" borderId="0" xfId="0" applyNumberFormat="1"/>
    <xf numFmtId="0" fontId="47" fillId="0" borderId="0" xfId="13" applyFont="1" applyAlignment="1">
      <alignment horizontal="left" wrapText="1"/>
    </xf>
    <xf numFmtId="0" fontId="66" fillId="0" borderId="0" xfId="13" applyFont="1" applyAlignment="1">
      <alignment horizontal="center" vertical="center"/>
    </xf>
    <xf numFmtId="0" fontId="66" fillId="0" borderId="0" xfId="13" applyFont="1" applyAlignment="1">
      <alignment horizontal="center"/>
    </xf>
    <xf numFmtId="0" fontId="47" fillId="0" borderId="0" xfId="13" applyFont="1" applyAlignment="1">
      <alignment horizontal="center" vertical="center"/>
    </xf>
    <xf numFmtId="0" fontId="16" fillId="0" borderId="0" xfId="13" applyAlignment="1">
      <alignment horizontal="left" vertical="center"/>
    </xf>
    <xf numFmtId="0" fontId="47" fillId="0" borderId="0" xfId="13" quotePrefix="1" applyFont="1" applyAlignment="1">
      <alignment horizontal="left" vertical="center"/>
    </xf>
    <xf numFmtId="0" fontId="47" fillId="0" borderId="0" xfId="13" applyFont="1" applyAlignment="1">
      <alignment horizontal="left" vertical="center"/>
    </xf>
    <xf numFmtId="0" fontId="47" fillId="0" borderId="0" xfId="13" applyFont="1" applyAlignment="1">
      <alignment horizontal="center" vertical="center" wrapText="1"/>
    </xf>
    <xf numFmtId="0" fontId="16" fillId="0" borderId="0" xfId="13" applyAlignment="1">
      <alignment horizontal="left" vertical="center" wrapText="1"/>
    </xf>
    <xf numFmtId="0" fontId="70" fillId="0" borderId="0" xfId="13" applyFont="1" applyAlignment="1">
      <alignment horizontal="center" vertical="center"/>
    </xf>
    <xf numFmtId="0" fontId="16" fillId="0" borderId="0" xfId="13" applyAlignment="1">
      <alignment horizontal="center"/>
    </xf>
    <xf numFmtId="0" fontId="44" fillId="0" borderId="0" xfId="13" applyFont="1" applyAlignment="1">
      <alignment horizontal="center"/>
    </xf>
    <xf numFmtId="2" fontId="68" fillId="0" borderId="0" xfId="13" quotePrefix="1" applyNumberFormat="1" applyFont="1" applyAlignment="1">
      <alignment horizontal="center" vertical="center"/>
    </xf>
    <xf numFmtId="2" fontId="68" fillId="0" borderId="0" xfId="13" applyNumberFormat="1" applyFont="1" applyAlignment="1">
      <alignment horizontal="center" vertical="center"/>
    </xf>
    <xf numFmtId="0" fontId="16" fillId="0" borderId="0" xfId="13" applyAlignment="1">
      <alignment horizontal="center" vertical="center"/>
    </xf>
    <xf numFmtId="0" fontId="35" fillId="0" borderId="97" xfId="13" applyFont="1" applyBorder="1" applyAlignment="1">
      <alignment horizontal="left" vertical="center"/>
    </xf>
    <xf numFmtId="0" fontId="35" fillId="0" borderId="58" xfId="13" applyFont="1" applyBorder="1" applyAlignment="1">
      <alignment horizontal="left" vertical="center"/>
    </xf>
    <xf numFmtId="0" fontId="35" fillId="0" borderId="96" xfId="13" applyFont="1" applyBorder="1" applyAlignment="1">
      <alignment horizontal="left" vertical="center"/>
    </xf>
    <xf numFmtId="0" fontId="35" fillId="0" borderId="56" xfId="13" applyFont="1" applyBorder="1" applyAlignment="1">
      <alignment horizontal="left" vertical="center"/>
    </xf>
    <xf numFmtId="0" fontId="35" fillId="0" borderId="19" xfId="13" applyFont="1" applyBorder="1" applyAlignment="1">
      <alignment horizontal="left" vertical="center"/>
    </xf>
    <xf numFmtId="0" fontId="35" fillId="0" borderId="92" xfId="13" applyFont="1" applyBorder="1" applyAlignment="1">
      <alignment horizontal="left" vertical="center"/>
    </xf>
    <xf numFmtId="0" fontId="68" fillId="0" borderId="57" xfId="13" applyFont="1" applyBorder="1" applyAlignment="1">
      <alignment horizontal="center"/>
    </xf>
    <xf numFmtId="0" fontId="68" fillId="0" borderId="11" xfId="13" applyFont="1" applyBorder="1" applyAlignment="1">
      <alignment horizontal="center"/>
    </xf>
    <xf numFmtId="0" fontId="68" fillId="0" borderId="94" xfId="13" applyFont="1" applyBorder="1" applyAlignment="1">
      <alignment horizontal="center"/>
    </xf>
    <xf numFmtId="0" fontId="35" fillId="0" borderId="64" xfId="13" applyFont="1" applyBorder="1" applyAlignment="1">
      <alignment horizontal="left" vertical="center"/>
    </xf>
    <xf numFmtId="0" fontId="35" fillId="0" borderId="0" xfId="13" applyFont="1" applyAlignment="1">
      <alignment horizontal="left" vertical="center"/>
    </xf>
    <xf numFmtId="0" fontId="35" fillId="0" borderId="65" xfId="13" applyFont="1" applyBorder="1" applyAlignment="1">
      <alignment horizontal="left" vertical="center"/>
    </xf>
    <xf numFmtId="0" fontId="35" fillId="0" borderId="95" xfId="13" applyFont="1" applyBorder="1" applyAlignment="1">
      <alignment horizontal="center" vertical="center"/>
    </xf>
    <xf numFmtId="0" fontId="35" fillId="0" borderId="11" xfId="13" applyFont="1" applyBorder="1" applyAlignment="1">
      <alignment horizontal="center" vertical="center"/>
    </xf>
    <xf numFmtId="0" fontId="35" fillId="0" borderId="10" xfId="13" applyFont="1" applyBorder="1" applyAlignment="1">
      <alignment horizontal="center" vertical="center"/>
    </xf>
    <xf numFmtId="0" fontId="35" fillId="0" borderId="23" xfId="13" applyFont="1" applyBorder="1" applyAlignment="1">
      <alignment horizontal="center" vertical="center"/>
    </xf>
    <xf numFmtId="0" fontId="35" fillId="0" borderId="0" xfId="13" applyFont="1" applyAlignment="1">
      <alignment horizontal="center" vertical="center"/>
    </xf>
    <xf numFmtId="0" fontId="35" fillId="0" borderId="93" xfId="13" applyFont="1" applyBorder="1" applyAlignment="1">
      <alignment horizontal="center" vertical="center"/>
    </xf>
    <xf numFmtId="0" fontId="35" fillId="0" borderId="20" xfId="13" applyFont="1" applyBorder="1" applyAlignment="1">
      <alignment horizontal="center" vertical="center"/>
    </xf>
    <xf numFmtId="0" fontId="35" fillId="0" borderId="19" xfId="13" applyFont="1" applyBorder="1" applyAlignment="1">
      <alignment horizontal="center" vertical="center"/>
    </xf>
    <xf numFmtId="0" fontId="35" fillId="0" borderId="92" xfId="13" applyFont="1" applyBorder="1" applyAlignment="1">
      <alignment horizontal="center" vertical="center"/>
    </xf>
    <xf numFmtId="0" fontId="35" fillId="0" borderId="89" xfId="13" applyFont="1" applyBorder="1" applyAlignment="1">
      <alignment horizontal="left" vertical="center"/>
    </xf>
    <xf numFmtId="0" fontId="35" fillId="0" borderId="62" xfId="13" applyFont="1" applyBorder="1" applyAlignment="1">
      <alignment horizontal="left" vertical="center"/>
    </xf>
    <xf numFmtId="0" fontId="35" fillId="0" borderId="53" xfId="13" applyFont="1" applyBorder="1" applyAlignment="1">
      <alignment horizontal="left" vertical="center"/>
    </xf>
    <xf numFmtId="0" fontId="71" fillId="0" borderId="55" xfId="13" applyFont="1" applyBorder="1" applyAlignment="1">
      <alignment horizontal="center" vertical="center"/>
    </xf>
    <xf numFmtId="0" fontId="71" fillId="0" borderId="54" xfId="13" applyFont="1" applyBorder="1" applyAlignment="1">
      <alignment horizontal="center" vertical="center"/>
    </xf>
    <xf numFmtId="0" fontId="71" fillId="0" borderId="90" xfId="13" applyFont="1" applyBorder="1" applyAlignment="1">
      <alignment horizontal="center" vertical="center"/>
    </xf>
    <xf numFmtId="0" fontId="71" fillId="0" borderId="91" xfId="13" applyFont="1" applyBorder="1" applyAlignment="1">
      <alignment horizontal="center" vertical="center"/>
    </xf>
    <xf numFmtId="0" fontId="35" fillId="0" borderId="95" xfId="13" applyFont="1" applyBorder="1" applyAlignment="1">
      <alignment horizontal="left" vertical="center" wrapText="1"/>
    </xf>
    <xf numFmtId="0" fontId="35" fillId="0" borderId="11" xfId="13" applyFont="1" applyBorder="1" applyAlignment="1">
      <alignment horizontal="left" vertical="center" wrapText="1"/>
    </xf>
    <xf numFmtId="0" fontId="35" fillId="0" borderId="10" xfId="13" applyFont="1" applyBorder="1" applyAlignment="1">
      <alignment horizontal="left" vertical="center" wrapText="1"/>
    </xf>
    <xf numFmtId="0" fontId="35" fillId="0" borderId="20" xfId="13" applyFont="1" applyBorder="1" applyAlignment="1">
      <alignment horizontal="left" vertical="center" wrapText="1"/>
    </xf>
    <xf numFmtId="0" fontId="35" fillId="0" borderId="19" xfId="13" applyFont="1" applyBorder="1" applyAlignment="1">
      <alignment horizontal="left" vertical="center" wrapText="1"/>
    </xf>
    <xf numFmtId="0" fontId="35" fillId="0" borderId="92" xfId="13" applyFont="1" applyBorder="1" applyAlignment="1">
      <alignment horizontal="left" vertical="center" wrapText="1"/>
    </xf>
    <xf numFmtId="0" fontId="47" fillId="0" borderId="64" xfId="13" applyFont="1" applyBorder="1" applyAlignment="1">
      <alignment horizontal="left" vertical="center"/>
    </xf>
    <xf numFmtId="0" fontId="16" fillId="0" borderId="65" xfId="13" applyBorder="1" applyAlignment="1">
      <alignment horizontal="center" vertical="center"/>
    </xf>
    <xf numFmtId="0" fontId="72" fillId="0" borderId="100" xfId="13" applyFont="1" applyBorder="1" applyAlignment="1">
      <alignment horizontal="center" vertical="center"/>
    </xf>
    <xf numFmtId="0" fontId="72" fillId="0" borderId="99" xfId="13" applyFont="1" applyBorder="1" applyAlignment="1">
      <alignment horizontal="center" vertical="center"/>
    </xf>
    <xf numFmtId="0" fontId="72" fillId="0" borderId="98" xfId="13" applyFont="1" applyBorder="1" applyAlignment="1">
      <alignment horizontal="center" vertical="center"/>
    </xf>
    <xf numFmtId="0" fontId="72" fillId="18" borderId="100" xfId="13" applyFont="1" applyFill="1" applyBorder="1" applyAlignment="1">
      <alignment horizontal="center" vertical="center"/>
    </xf>
    <xf numFmtId="0" fontId="72" fillId="18" borderId="99" xfId="13" applyFont="1" applyFill="1" applyBorder="1" applyAlignment="1">
      <alignment horizontal="center" vertical="center"/>
    </xf>
    <xf numFmtId="0" fontId="72" fillId="18" borderId="98" xfId="13" applyFont="1" applyFill="1" applyBorder="1" applyAlignment="1">
      <alignment horizontal="center" vertical="center"/>
    </xf>
    <xf numFmtId="2" fontId="73" fillId="0" borderId="9" xfId="13" applyNumberFormat="1" applyFont="1" applyBorder="1" applyAlignment="1">
      <alignment horizontal="center" vertical="center"/>
    </xf>
    <xf numFmtId="2" fontId="73" fillId="0" borderId="21" xfId="13" applyNumberFormat="1" applyFont="1" applyBorder="1" applyAlignment="1">
      <alignment horizontal="center" vertical="center"/>
    </xf>
    <xf numFmtId="0" fontId="74" fillId="0" borderId="9" xfId="13" applyFont="1" applyBorder="1" applyAlignment="1">
      <alignment horizontal="left" vertical="center"/>
    </xf>
    <xf numFmtId="0" fontId="74" fillId="0" borderId="18" xfId="13" applyFont="1" applyBorder="1" applyAlignment="1">
      <alignment horizontal="left" vertical="center"/>
    </xf>
    <xf numFmtId="0" fontId="74" fillId="0" borderId="8" xfId="13" applyFont="1" applyBorder="1" applyAlignment="1">
      <alignment horizontal="left" vertical="center"/>
    </xf>
    <xf numFmtId="2" fontId="73" fillId="15" borderId="9" xfId="13" applyNumberFormat="1" applyFont="1" applyFill="1" applyBorder="1" applyAlignment="1">
      <alignment horizontal="center" vertical="center"/>
    </xf>
    <xf numFmtId="2" fontId="73" fillId="15" borderId="21" xfId="13" applyNumberFormat="1" applyFont="1" applyFill="1" applyBorder="1" applyAlignment="1">
      <alignment horizontal="center" vertical="center"/>
    </xf>
    <xf numFmtId="2" fontId="73" fillId="0" borderId="14" xfId="13" applyNumberFormat="1" applyFont="1" applyBorder="1" applyAlignment="1">
      <alignment horizontal="center" vertical="center"/>
    </xf>
    <xf numFmtId="2" fontId="73" fillId="0" borderId="12" xfId="13" applyNumberFormat="1" applyFont="1" applyBorder="1" applyAlignment="1">
      <alignment horizontal="center" vertical="center"/>
    </xf>
    <xf numFmtId="14" fontId="73" fillId="0" borderId="9" xfId="13" applyNumberFormat="1" applyFont="1" applyBorder="1" applyAlignment="1">
      <alignment horizontal="center" vertical="center"/>
    </xf>
    <xf numFmtId="14" fontId="73" fillId="0" borderId="21" xfId="13" applyNumberFormat="1" applyFont="1" applyBorder="1" applyAlignment="1">
      <alignment horizontal="center" vertical="center"/>
    </xf>
    <xf numFmtId="0" fontId="74" fillId="0" borderId="14" xfId="13" applyFont="1" applyBorder="1" applyAlignment="1">
      <alignment horizontal="left" vertical="center"/>
    </xf>
    <xf numFmtId="0" fontId="47" fillId="15" borderId="72" xfId="13" applyFont="1" applyFill="1" applyBorder="1" applyAlignment="1">
      <alignment horizontal="center" vertical="center"/>
    </xf>
    <xf numFmtId="0" fontId="47" fillId="15" borderId="73" xfId="13" applyFont="1" applyFill="1" applyBorder="1" applyAlignment="1">
      <alignment horizontal="center" vertical="center"/>
    </xf>
    <xf numFmtId="0" fontId="75" fillId="0" borderId="72" xfId="13" applyFont="1" applyBorder="1" applyAlignment="1">
      <alignment horizontal="center" vertical="center"/>
    </xf>
    <xf numFmtId="0" fontId="75" fillId="0" borderId="75" xfId="13" applyFont="1" applyBorder="1" applyAlignment="1">
      <alignment horizontal="center" vertical="center"/>
    </xf>
    <xf numFmtId="0" fontId="75" fillId="0" borderId="73" xfId="13" applyFont="1" applyBorder="1" applyAlignment="1">
      <alignment horizontal="center" vertical="center"/>
    </xf>
    <xf numFmtId="14" fontId="75" fillId="0" borderId="72" xfId="13" applyNumberFormat="1" applyFont="1" applyBorder="1" applyAlignment="1">
      <alignment horizontal="center" vertical="center"/>
    </xf>
    <xf numFmtId="0" fontId="76" fillId="0" borderId="76" xfId="13" applyFont="1" applyBorder="1" applyAlignment="1">
      <alignment horizontal="left" vertical="center" wrapText="1"/>
    </xf>
    <xf numFmtId="0" fontId="75" fillId="0" borderId="52" xfId="13" applyFont="1" applyBorder="1" applyAlignment="1">
      <alignment horizontal="left" vertical="center" wrapText="1"/>
    </xf>
    <xf numFmtId="0" fontId="75" fillId="0" borderId="77" xfId="13" applyFont="1" applyBorder="1" applyAlignment="1">
      <alignment horizontal="left" vertical="center" wrapText="1"/>
    </xf>
    <xf numFmtId="0" fontId="75" fillId="0" borderId="62" xfId="13" applyFont="1" applyBorder="1" applyAlignment="1">
      <alignment horizontal="left" vertical="center" wrapText="1"/>
    </xf>
    <xf numFmtId="173" fontId="76" fillId="0" borderId="52" xfId="13" applyNumberFormat="1" applyFont="1" applyBorder="1" applyAlignment="1">
      <alignment horizontal="center" vertical="center" wrapText="1"/>
    </xf>
    <xf numFmtId="173" fontId="76" fillId="0" borderId="63" xfId="13" applyNumberFormat="1" applyFont="1" applyBorder="1" applyAlignment="1">
      <alignment horizontal="center" vertical="center" wrapText="1"/>
    </xf>
    <xf numFmtId="173" fontId="76" fillId="0" borderId="62" xfId="13" applyNumberFormat="1" applyFont="1" applyBorder="1" applyAlignment="1">
      <alignment horizontal="center" vertical="center" wrapText="1"/>
    </xf>
    <xf numFmtId="173" fontId="76" fillId="0" borderId="53" xfId="13" applyNumberFormat="1" applyFont="1" applyBorder="1" applyAlignment="1">
      <alignment horizontal="center" vertical="center" wrapText="1"/>
    </xf>
    <xf numFmtId="0" fontId="47" fillId="15" borderId="75" xfId="13" applyFont="1" applyFill="1" applyBorder="1" applyAlignment="1">
      <alignment horizontal="center" vertical="center"/>
    </xf>
    <xf numFmtId="173" fontId="75" fillId="0" borderId="72" xfId="13" applyNumberFormat="1" applyFont="1" applyBorder="1" applyAlignment="1">
      <alignment horizontal="center" vertical="center" wrapText="1"/>
    </xf>
    <xf numFmtId="173" fontId="75" fillId="0" borderId="75" xfId="13" applyNumberFormat="1" applyFont="1" applyBorder="1" applyAlignment="1">
      <alignment horizontal="center" vertical="center" wrapText="1"/>
    </xf>
    <xf numFmtId="173" fontId="75" fillId="0" borderId="73" xfId="13" applyNumberFormat="1" applyFont="1" applyBorder="1" applyAlignment="1">
      <alignment horizontal="center" vertical="center" wrapText="1"/>
    </xf>
    <xf numFmtId="0" fontId="16" fillId="0" borderId="52" xfId="13" applyBorder="1" applyAlignment="1">
      <alignment horizontal="left" vertical="center" wrapText="1"/>
    </xf>
    <xf numFmtId="0" fontId="16" fillId="0" borderId="77" xfId="13" applyBorder="1" applyAlignment="1">
      <alignment horizontal="left" vertical="center" wrapText="1"/>
    </xf>
    <xf numFmtId="0" fontId="16" fillId="0" borderId="62" xfId="13" applyBorder="1" applyAlignment="1">
      <alignment horizontal="left" vertical="center" wrapText="1"/>
    </xf>
    <xf numFmtId="0" fontId="35" fillId="0" borderId="52" xfId="13" applyFont="1" applyBorder="1" applyAlignment="1">
      <alignment horizontal="left" vertical="center" wrapText="1"/>
    </xf>
    <xf numFmtId="0" fontId="35" fillId="0" borderId="63" xfId="13" applyFont="1" applyBorder="1" applyAlignment="1">
      <alignment horizontal="left" vertical="center" wrapText="1"/>
    </xf>
    <xf numFmtId="0" fontId="35" fillId="0" borderId="62" xfId="13" applyFont="1" applyBorder="1" applyAlignment="1">
      <alignment horizontal="left" vertical="center" wrapText="1"/>
    </xf>
    <xf numFmtId="0" fontId="35" fillId="0" borderId="53" xfId="13" applyFont="1" applyBorder="1" applyAlignment="1">
      <alignment horizontal="left" vertical="center" wrapText="1"/>
    </xf>
    <xf numFmtId="4" fontId="73" fillId="15" borderId="9" xfId="13" applyNumberFormat="1" applyFont="1" applyFill="1" applyBorder="1" applyAlignment="1">
      <alignment horizontal="center" vertical="center"/>
    </xf>
    <xf numFmtId="4" fontId="73" fillId="15" borderId="21" xfId="13" applyNumberFormat="1" applyFont="1" applyFill="1" applyBorder="1" applyAlignment="1">
      <alignment horizontal="center" vertical="center"/>
    </xf>
    <xf numFmtId="0" fontId="47" fillId="0" borderId="57" xfId="13" applyFont="1" applyBorder="1" applyAlignment="1">
      <alignment horizontal="left" vertical="center"/>
    </xf>
    <xf numFmtId="0" fontId="47" fillId="0" borderId="11" xfId="13" applyFont="1" applyBorder="1" applyAlignment="1">
      <alignment horizontal="left" vertical="center"/>
    </xf>
    <xf numFmtId="0" fontId="16" fillId="0" borderId="11" xfId="13" applyBorder="1" applyAlignment="1">
      <alignment horizontal="center" vertical="center"/>
    </xf>
    <xf numFmtId="0" fontId="16" fillId="0" borderId="94" xfId="13" applyBorder="1" applyAlignment="1">
      <alignment horizontal="center" vertical="center"/>
    </xf>
    <xf numFmtId="0" fontId="49" fillId="0" borderId="32" xfId="2" applyFont="1" applyBorder="1" applyAlignment="1">
      <alignment horizontal="center"/>
    </xf>
    <xf numFmtId="0" fontId="50" fillId="0" borderId="72" xfId="2" applyFont="1" applyBorder="1" applyAlignment="1">
      <alignment horizontal="center" vertical="center" wrapText="1" readingOrder="1"/>
    </xf>
    <xf numFmtId="0" fontId="50" fillId="0" borderId="75" xfId="2" applyFont="1" applyBorder="1" applyAlignment="1">
      <alignment horizontal="center" vertical="center" wrapText="1" readingOrder="1"/>
    </xf>
    <xf numFmtId="0" fontId="50" fillId="0" borderId="73" xfId="2" applyFont="1" applyBorder="1" applyAlignment="1">
      <alignment horizontal="center" vertical="center" wrapText="1" readingOrder="1"/>
    </xf>
    <xf numFmtId="0" fontId="52" fillId="15" borderId="76" xfId="2" applyFont="1" applyFill="1" applyBorder="1" applyAlignment="1">
      <alignment horizontal="center" vertical="center"/>
    </xf>
    <xf numFmtId="0" fontId="52" fillId="15" borderId="52" xfId="2" applyFont="1" applyFill="1" applyBorder="1" applyAlignment="1">
      <alignment horizontal="center" vertical="center"/>
    </xf>
    <xf numFmtId="0" fontId="52" fillId="15" borderId="63" xfId="2" applyFont="1" applyFill="1" applyBorder="1" applyAlignment="1">
      <alignment horizontal="center" vertical="center"/>
    </xf>
    <xf numFmtId="0" fontId="52" fillId="15" borderId="77" xfId="2" applyFont="1" applyFill="1" applyBorder="1" applyAlignment="1">
      <alignment horizontal="center" vertical="center"/>
    </xf>
    <xf numFmtId="0" fontId="52" fillId="15" borderId="62" xfId="2" applyFont="1" applyFill="1" applyBorder="1" applyAlignment="1">
      <alignment horizontal="center" vertical="center"/>
    </xf>
    <xf numFmtId="0" fontId="52" fillId="15" borderId="53" xfId="2" applyFont="1" applyFill="1" applyBorder="1" applyAlignment="1">
      <alignment horizontal="center" vertical="center"/>
    </xf>
    <xf numFmtId="0" fontId="52" fillId="15" borderId="32" xfId="2" applyFont="1" applyFill="1" applyBorder="1" applyAlignment="1">
      <alignment horizontal="center" vertical="center"/>
    </xf>
    <xf numFmtId="169" fontId="53" fillId="0" borderId="76" xfId="2" applyNumberFormat="1" applyFont="1" applyBorder="1" applyAlignment="1" applyProtection="1">
      <alignment horizontal="center" vertical="center"/>
      <protection locked="0"/>
    </xf>
    <xf numFmtId="169" fontId="53" fillId="0" borderId="52" xfId="2" applyNumberFormat="1" applyFont="1" applyBorder="1" applyAlignment="1" applyProtection="1">
      <alignment horizontal="center" vertical="center"/>
      <protection locked="0"/>
    </xf>
    <xf numFmtId="169" fontId="53" fillId="0" borderId="63" xfId="2" applyNumberFormat="1" applyFont="1" applyBorder="1" applyAlignment="1" applyProtection="1">
      <alignment horizontal="center" vertical="center"/>
      <protection locked="0"/>
    </xf>
    <xf numFmtId="169" fontId="53" fillId="0" borderId="77" xfId="2" applyNumberFormat="1" applyFont="1" applyBorder="1" applyAlignment="1" applyProtection="1">
      <alignment horizontal="center" vertical="center"/>
      <protection locked="0"/>
    </xf>
    <xf numFmtId="169" fontId="53" fillId="0" borderId="62" xfId="2" applyNumberFormat="1" applyFont="1" applyBorder="1" applyAlignment="1" applyProtection="1">
      <alignment horizontal="center" vertical="center"/>
      <protection locked="0"/>
    </xf>
    <xf numFmtId="169" fontId="53" fillId="0" borderId="53" xfId="2" applyNumberFormat="1" applyFont="1" applyBorder="1" applyAlignment="1" applyProtection="1">
      <alignment horizontal="center" vertical="center"/>
      <protection locked="0"/>
    </xf>
    <xf numFmtId="14" fontId="53" fillId="0" borderId="76" xfId="2" applyNumberFormat="1" applyFont="1" applyBorder="1" applyAlignment="1" applyProtection="1">
      <alignment horizontal="center" vertical="center"/>
      <protection locked="0"/>
    </xf>
    <xf numFmtId="14" fontId="53" fillId="0" borderId="52" xfId="2" applyNumberFormat="1" applyFont="1" applyBorder="1" applyAlignment="1" applyProtection="1">
      <alignment horizontal="center" vertical="center"/>
      <protection locked="0"/>
    </xf>
    <xf numFmtId="14" fontId="53" fillId="0" borderId="63" xfId="2" applyNumberFormat="1" applyFont="1" applyBorder="1" applyAlignment="1" applyProtection="1">
      <alignment horizontal="center" vertical="center"/>
      <protection locked="0"/>
    </xf>
    <xf numFmtId="14" fontId="53" fillId="0" borderId="77" xfId="2" applyNumberFormat="1" applyFont="1" applyBorder="1" applyAlignment="1" applyProtection="1">
      <alignment horizontal="center" vertical="center"/>
      <protection locked="0"/>
    </xf>
    <xf numFmtId="14" fontId="53" fillId="0" borderId="62" xfId="2" applyNumberFormat="1" applyFont="1" applyBorder="1" applyAlignment="1" applyProtection="1">
      <alignment horizontal="center" vertical="center"/>
      <protection locked="0"/>
    </xf>
    <xf numFmtId="14" fontId="53" fillId="0" borderId="53" xfId="2" applyNumberFormat="1" applyFont="1" applyBorder="1" applyAlignment="1" applyProtection="1">
      <alignment horizontal="center" vertical="center"/>
      <protection locked="0"/>
    </xf>
    <xf numFmtId="0" fontId="61" fillId="15" borderId="32" xfId="2" applyFont="1" applyFill="1" applyBorder="1" applyAlignment="1">
      <alignment horizontal="center" vertical="center"/>
    </xf>
    <xf numFmtId="0" fontId="57" fillId="0" borderId="32" xfId="2" applyFont="1" applyBorder="1" applyAlignment="1" applyProtection="1">
      <alignment horizontal="center" vertical="center"/>
      <protection locked="0"/>
    </xf>
    <xf numFmtId="0" fontId="56" fillId="15" borderId="32" xfId="2" applyFont="1" applyFill="1" applyBorder="1" applyAlignment="1">
      <alignment horizontal="center" vertical="center"/>
    </xf>
    <xf numFmtId="0" fontId="61" fillId="15" borderId="72" xfId="2" applyFont="1" applyFill="1" applyBorder="1" applyAlignment="1">
      <alignment horizontal="center" vertical="center" wrapText="1"/>
    </xf>
    <xf numFmtId="0" fontId="61" fillId="15" borderId="75" xfId="2" applyFont="1" applyFill="1" applyBorder="1" applyAlignment="1">
      <alignment horizontal="center" vertical="center" wrapText="1"/>
    </xf>
    <xf numFmtId="0" fontId="57" fillId="15" borderId="75" xfId="2" applyFont="1" applyFill="1" applyBorder="1" applyAlignment="1" applyProtection="1">
      <alignment horizontal="left" vertical="top" wrapText="1"/>
      <protection locked="0"/>
    </xf>
    <xf numFmtId="0" fontId="57" fillId="15" borderId="73" xfId="2" applyFont="1" applyFill="1" applyBorder="1" applyAlignment="1" applyProtection="1">
      <alignment horizontal="left" vertical="top" wrapText="1"/>
      <protection locked="0"/>
    </xf>
    <xf numFmtId="0" fontId="57" fillId="0" borderId="32" xfId="2" applyFont="1" applyBorder="1" applyAlignment="1" applyProtection="1">
      <alignment horizontal="left" vertical="center"/>
      <protection locked="0"/>
    </xf>
    <xf numFmtId="0" fontId="59" fillId="0" borderId="32" xfId="7" applyFont="1" applyBorder="1" applyAlignment="1" applyProtection="1">
      <alignment horizontal="center" vertical="center"/>
      <protection locked="0"/>
    </xf>
    <xf numFmtId="0" fontId="60" fillId="0" borderId="32" xfId="2" applyFont="1" applyBorder="1" applyAlignment="1" applyProtection="1">
      <alignment horizontal="center" vertical="center"/>
      <protection locked="0"/>
    </xf>
    <xf numFmtId="0" fontId="62" fillId="15" borderId="72" xfId="2" applyFont="1" applyFill="1" applyBorder="1" applyAlignment="1">
      <alignment horizontal="center" vertical="center"/>
    </xf>
    <xf numFmtId="0" fontId="62" fillId="15" borderId="75" xfId="2" applyFont="1" applyFill="1" applyBorder="1" applyAlignment="1">
      <alignment horizontal="center" vertical="center"/>
    </xf>
    <xf numFmtId="0" fontId="62" fillId="15" borderId="73" xfId="2" applyFont="1" applyFill="1" applyBorder="1" applyAlignment="1">
      <alignment horizontal="center" vertical="center"/>
    </xf>
    <xf numFmtId="0" fontId="55" fillId="0" borderId="72" xfId="6" applyFont="1" applyBorder="1" applyAlignment="1">
      <alignment horizontal="center" vertical="center"/>
    </xf>
    <xf numFmtId="0" fontId="55" fillId="0" borderId="73" xfId="6" applyFont="1" applyBorder="1" applyAlignment="1">
      <alignment horizontal="center" vertical="center"/>
    </xf>
    <xf numFmtId="0" fontId="55" fillId="0" borderId="75" xfId="6" applyFont="1" applyBorder="1" applyAlignment="1">
      <alignment horizontal="center" vertical="center"/>
    </xf>
    <xf numFmtId="0" fontId="63" fillId="0" borderId="72" xfId="2" applyFont="1" applyBorder="1" applyAlignment="1" applyProtection="1">
      <alignment horizontal="left" vertical="center" wrapText="1"/>
      <protection locked="0"/>
    </xf>
    <xf numFmtId="0" fontId="63" fillId="0" borderId="75" xfId="2" applyFont="1" applyBorder="1" applyAlignment="1" applyProtection="1">
      <alignment horizontal="left" vertical="center" wrapText="1"/>
      <protection locked="0"/>
    </xf>
    <xf numFmtId="0" fontId="63" fillId="0" borderId="73" xfId="2" applyFont="1" applyBorder="1" applyAlignment="1" applyProtection="1">
      <alignment horizontal="left" vertical="center" wrapText="1"/>
      <protection locked="0"/>
    </xf>
    <xf numFmtId="0" fontId="63" fillId="0" borderId="72" xfId="2" applyFont="1" applyBorder="1" applyAlignment="1" applyProtection="1">
      <alignment horizontal="center" vertical="center"/>
      <protection locked="0"/>
    </xf>
    <xf numFmtId="0" fontId="63" fillId="0" borderId="75" xfId="2" applyFont="1" applyBorder="1" applyAlignment="1" applyProtection="1">
      <alignment horizontal="center" vertical="center"/>
      <protection locked="0"/>
    </xf>
    <xf numFmtId="0" fontId="63" fillId="0" borderId="73" xfId="2" applyFont="1" applyBorder="1" applyAlignment="1" applyProtection="1">
      <alignment horizontal="center" vertical="center"/>
      <protection locked="0"/>
    </xf>
    <xf numFmtId="43" fontId="63" fillId="0" borderId="72" xfId="8" applyFont="1" applyFill="1" applyBorder="1" applyAlignment="1" applyProtection="1">
      <alignment horizontal="center" vertical="center"/>
      <protection locked="0"/>
    </xf>
    <xf numFmtId="43" fontId="63" fillId="0" borderId="75" xfId="8" applyFont="1" applyFill="1" applyBorder="1" applyAlignment="1" applyProtection="1">
      <alignment horizontal="center" vertical="center"/>
      <protection locked="0"/>
    </xf>
    <xf numFmtId="43" fontId="63" fillId="0" borderId="73" xfId="8" applyFont="1" applyFill="1" applyBorder="1" applyAlignment="1" applyProtection="1">
      <alignment horizontal="center" vertical="center"/>
      <protection locked="0"/>
    </xf>
    <xf numFmtId="170" fontId="63" fillId="0" borderId="72" xfId="9" applyFont="1" applyFill="1" applyBorder="1" applyAlignment="1" applyProtection="1">
      <alignment horizontal="center" vertical="center"/>
      <protection locked="0"/>
    </xf>
    <xf numFmtId="170" fontId="63" fillId="0" borderId="75" xfId="9" applyFont="1" applyFill="1" applyBorder="1" applyAlignment="1" applyProtection="1">
      <alignment horizontal="center" vertical="center"/>
      <protection locked="0"/>
    </xf>
    <xf numFmtId="170" fontId="63" fillId="0" borderId="73" xfId="9" applyFont="1" applyFill="1" applyBorder="1" applyAlignment="1" applyProtection="1">
      <alignment horizontal="center" vertical="center"/>
      <protection locked="0"/>
    </xf>
    <xf numFmtId="171" fontId="63" fillId="16" borderId="72" xfId="10" applyFont="1" applyFill="1" applyBorder="1" applyAlignment="1" applyProtection="1">
      <alignment horizontal="center" vertical="center"/>
    </xf>
    <xf numFmtId="171" fontId="63" fillId="16" borderId="75" xfId="10" applyFont="1" applyFill="1" applyBorder="1" applyAlignment="1" applyProtection="1">
      <alignment horizontal="center" vertical="center"/>
    </xf>
    <xf numFmtId="171" fontId="63" fillId="16" borderId="73" xfId="10" applyFont="1" applyFill="1" applyBorder="1" applyAlignment="1" applyProtection="1">
      <alignment horizontal="center" vertical="center"/>
    </xf>
    <xf numFmtId="0" fontId="63" fillId="0" borderId="72" xfId="2" applyFont="1" applyBorder="1" applyAlignment="1" applyProtection="1">
      <alignment horizontal="left" vertical="center"/>
      <protection locked="0"/>
    </xf>
    <xf numFmtId="0" fontId="63" fillId="0" borderId="75" xfId="2" applyFont="1" applyBorder="1" applyAlignment="1" applyProtection="1">
      <alignment horizontal="left" vertical="center"/>
      <protection locked="0"/>
    </xf>
    <xf numFmtId="0" fontId="63" fillId="0" borderId="73" xfId="2" applyFont="1" applyBorder="1" applyAlignment="1" applyProtection="1">
      <alignment horizontal="left" vertical="center"/>
      <protection locked="0"/>
    </xf>
    <xf numFmtId="1" fontId="63" fillId="0" borderId="72" xfId="9" applyNumberFormat="1" applyFont="1" applyFill="1" applyBorder="1" applyAlignment="1" applyProtection="1">
      <alignment horizontal="center" vertical="center"/>
      <protection locked="0"/>
    </xf>
    <xf numFmtId="1" fontId="63" fillId="0" borderId="75" xfId="9" applyNumberFormat="1" applyFont="1" applyFill="1" applyBorder="1" applyAlignment="1" applyProtection="1">
      <alignment horizontal="center" vertical="center"/>
      <protection locked="0"/>
    </xf>
    <xf numFmtId="1" fontId="63" fillId="0" borderId="73" xfId="9" applyNumberFormat="1" applyFont="1" applyFill="1" applyBorder="1" applyAlignment="1" applyProtection="1">
      <alignment horizontal="center" vertical="center"/>
      <protection locked="0"/>
    </xf>
    <xf numFmtId="170" fontId="63" fillId="0" borderId="72" xfId="9" applyFont="1" applyFill="1" applyBorder="1" applyAlignment="1" applyProtection="1">
      <alignment horizontal="right" vertical="center"/>
      <protection locked="0"/>
    </xf>
    <xf numFmtId="170" fontId="63" fillId="0" borderId="75" xfId="9" applyFont="1" applyFill="1" applyBorder="1" applyAlignment="1" applyProtection="1">
      <alignment horizontal="right" vertical="center"/>
      <protection locked="0"/>
    </xf>
    <xf numFmtId="170" fontId="63" fillId="0" borderId="73" xfId="9" applyFont="1" applyFill="1" applyBorder="1" applyAlignment="1" applyProtection="1">
      <alignment horizontal="right" vertical="center"/>
      <protection locked="0"/>
    </xf>
    <xf numFmtId="168" fontId="63" fillId="0" borderId="72" xfId="9" applyNumberFormat="1" applyFont="1" applyFill="1" applyBorder="1" applyAlignment="1" applyProtection="1">
      <alignment horizontal="center" vertical="center"/>
      <protection locked="0"/>
    </xf>
    <xf numFmtId="168" fontId="63" fillId="0" borderId="75" xfId="9" applyNumberFormat="1" applyFont="1" applyFill="1" applyBorder="1" applyAlignment="1" applyProtection="1">
      <alignment horizontal="center" vertical="center"/>
      <protection locked="0"/>
    </xf>
    <xf numFmtId="168" fontId="63" fillId="0" borderId="73" xfId="9" applyNumberFormat="1" applyFont="1" applyFill="1" applyBorder="1" applyAlignment="1" applyProtection="1">
      <alignment horizontal="center" vertical="center"/>
      <protection locked="0"/>
    </xf>
    <xf numFmtId="0" fontId="63" fillId="0" borderId="72" xfId="9" applyNumberFormat="1" applyFont="1" applyFill="1" applyBorder="1" applyAlignment="1" applyProtection="1">
      <alignment horizontal="center" vertical="center"/>
      <protection locked="0"/>
    </xf>
    <xf numFmtId="0" fontId="63" fillId="0" borderId="75" xfId="9" applyNumberFormat="1" applyFont="1" applyFill="1" applyBorder="1" applyAlignment="1" applyProtection="1">
      <alignment horizontal="center" vertical="center"/>
      <protection locked="0"/>
    </xf>
    <xf numFmtId="0" fontId="63" fillId="0" borderId="73" xfId="9" applyNumberFormat="1" applyFont="1" applyFill="1" applyBorder="1" applyAlignment="1" applyProtection="1">
      <alignment horizontal="center" vertical="center"/>
      <protection locked="0"/>
    </xf>
    <xf numFmtId="0" fontId="56" fillId="6" borderId="0" xfId="2" applyFont="1" applyFill="1" applyAlignment="1">
      <alignment horizontal="center"/>
    </xf>
    <xf numFmtId="172" fontId="62" fillId="17" borderId="72" xfId="2" applyNumberFormat="1" applyFont="1" applyFill="1" applyBorder="1" applyAlignment="1">
      <alignment horizontal="center" vertical="center"/>
    </xf>
    <xf numFmtId="172" fontId="62" fillId="17" borderId="75" xfId="2" applyNumberFormat="1" applyFont="1" applyFill="1" applyBorder="1" applyAlignment="1">
      <alignment horizontal="center" vertical="center"/>
    </xf>
    <xf numFmtId="172" fontId="62" fillId="17" borderId="73" xfId="2" applyNumberFormat="1" applyFont="1" applyFill="1" applyBorder="1" applyAlignment="1">
      <alignment horizontal="center" vertical="center"/>
    </xf>
    <xf numFmtId="172" fontId="62" fillId="17" borderId="32" xfId="2" applyNumberFormat="1" applyFont="1" applyFill="1" applyBorder="1" applyAlignment="1">
      <alignment horizontal="center" vertical="center"/>
    </xf>
    <xf numFmtId="171" fontId="63" fillId="16" borderId="32" xfId="10" applyFont="1" applyFill="1" applyBorder="1" applyAlignment="1" applyProtection="1">
      <alignment horizontal="center" vertical="center"/>
    </xf>
    <xf numFmtId="0" fontId="65" fillId="0" borderId="76" xfId="2" applyFont="1" applyBorder="1" applyAlignment="1" applyProtection="1">
      <alignment horizontal="center" vertical="top" wrapText="1"/>
      <protection locked="0"/>
    </xf>
    <xf numFmtId="0" fontId="65" fillId="0" borderId="52" xfId="2" applyFont="1" applyBorder="1" applyAlignment="1" applyProtection="1">
      <alignment horizontal="center" vertical="top" wrapText="1"/>
      <protection locked="0"/>
    </xf>
    <xf numFmtId="0" fontId="65" fillId="0" borderId="63" xfId="2" applyFont="1" applyBorder="1" applyAlignment="1" applyProtection="1">
      <alignment horizontal="center" vertical="top" wrapText="1"/>
      <protection locked="0"/>
    </xf>
    <xf numFmtId="0" fontId="65" fillId="0" borderId="23" xfId="2" applyFont="1" applyBorder="1" applyAlignment="1" applyProtection="1">
      <alignment horizontal="center" vertical="top" wrapText="1"/>
      <protection locked="0"/>
    </xf>
    <xf numFmtId="0" fontId="65" fillId="0" borderId="0" xfId="2" applyFont="1" applyAlignment="1" applyProtection="1">
      <alignment horizontal="center" vertical="top" wrapText="1"/>
      <protection locked="0"/>
    </xf>
    <xf numFmtId="0" fontId="65" fillId="0" borderId="65" xfId="2" applyFont="1" applyBorder="1" applyAlignment="1" applyProtection="1">
      <alignment horizontal="center" vertical="top" wrapText="1"/>
      <protection locked="0"/>
    </xf>
    <xf numFmtId="0" fontId="65" fillId="13" borderId="77" xfId="2" applyFont="1" applyFill="1" applyBorder="1" applyAlignment="1" applyProtection="1">
      <alignment horizontal="left" vertical="center"/>
      <protection locked="0"/>
    </xf>
    <xf numFmtId="0" fontId="65" fillId="13" borderId="62" xfId="2" applyFont="1" applyFill="1" applyBorder="1" applyAlignment="1" applyProtection="1">
      <alignment horizontal="left" vertical="center"/>
      <protection locked="0"/>
    </xf>
    <xf numFmtId="0" fontId="65" fillId="13" borderId="53" xfId="2" applyFont="1" applyFill="1" applyBorder="1" applyAlignment="1" applyProtection="1">
      <alignment horizontal="left" vertical="center"/>
      <protection locked="0"/>
    </xf>
    <xf numFmtId="0" fontId="56" fillId="13" borderId="76" xfId="2" applyFont="1" applyFill="1" applyBorder="1" applyAlignment="1">
      <alignment horizontal="center" vertical="center"/>
    </xf>
    <xf numFmtId="0" fontId="56" fillId="13" borderId="52" xfId="2" applyFont="1" applyFill="1" applyBorder="1" applyAlignment="1">
      <alignment horizontal="center" vertical="center"/>
    </xf>
    <xf numFmtId="0" fontId="56" fillId="13" borderId="63" xfId="2" applyFont="1" applyFill="1" applyBorder="1" applyAlignment="1">
      <alignment horizontal="center" vertical="center"/>
    </xf>
    <xf numFmtId="0" fontId="49" fillId="6" borderId="82" xfId="2" applyFont="1" applyFill="1" applyBorder="1" applyAlignment="1">
      <alignment horizontal="left"/>
    </xf>
    <xf numFmtId="0" fontId="49" fillId="6" borderId="0" xfId="2" applyFont="1" applyFill="1" applyAlignment="1">
      <alignment horizontal="center"/>
    </xf>
    <xf numFmtId="0" fontId="56" fillId="6" borderId="29" xfId="2" applyFont="1" applyFill="1" applyBorder="1" applyAlignment="1">
      <alignment horizontal="center"/>
    </xf>
    <xf numFmtId="0" fontId="49" fillId="6" borderId="0" xfId="2" applyFont="1" applyFill="1" applyAlignment="1">
      <alignment horizontal="left"/>
    </xf>
    <xf numFmtId="0" fontId="47" fillId="6" borderId="32" xfId="2" applyFont="1" applyFill="1" applyBorder="1" applyAlignment="1">
      <alignment horizontal="center"/>
    </xf>
    <xf numFmtId="0" fontId="47" fillId="6" borderId="0" xfId="2" applyFont="1" applyFill="1" applyAlignment="1">
      <alignment horizontal="center"/>
    </xf>
    <xf numFmtId="0" fontId="44" fillId="0" borderId="55" xfId="0" applyFont="1" applyBorder="1" applyAlignment="1">
      <alignment horizontal="center" vertical="center" wrapText="1"/>
    </xf>
    <xf numFmtId="0" fontId="44" fillId="0" borderId="54" xfId="0" applyFont="1" applyBorder="1" applyAlignment="1">
      <alignment horizontal="center" vertical="center" wrapText="1"/>
    </xf>
    <xf numFmtId="0" fontId="44" fillId="0" borderId="53" xfId="0" applyFont="1" applyBorder="1" applyAlignment="1">
      <alignment horizontal="center" vertical="center" wrapText="1"/>
    </xf>
    <xf numFmtId="0" fontId="46" fillId="6" borderId="72" xfId="2" applyFont="1" applyFill="1" applyBorder="1" applyAlignment="1">
      <alignment horizontal="center"/>
    </xf>
    <xf numFmtId="0" fontId="46" fillId="6" borderId="75" xfId="2" applyFont="1" applyFill="1" applyBorder="1" applyAlignment="1">
      <alignment horizontal="center"/>
    </xf>
    <xf numFmtId="0" fontId="46" fillId="6" borderId="73" xfId="2" applyFont="1" applyFill="1" applyBorder="1" applyAlignment="1">
      <alignment horizontal="center"/>
    </xf>
    <xf numFmtId="0" fontId="46" fillId="6" borderId="72" xfId="2" applyFont="1" applyFill="1" applyBorder="1" applyAlignment="1">
      <alignment horizontal="center" vertical="center" wrapText="1"/>
    </xf>
    <xf numFmtId="0" fontId="46" fillId="6" borderId="75" xfId="2" applyFont="1" applyFill="1" applyBorder="1" applyAlignment="1">
      <alignment horizontal="center" vertical="center" wrapText="1"/>
    </xf>
    <xf numFmtId="0" fontId="46" fillId="6" borderId="73" xfId="2" applyFont="1" applyFill="1" applyBorder="1" applyAlignment="1">
      <alignment horizontal="center" vertical="center" wrapText="1"/>
    </xf>
    <xf numFmtId="0" fontId="47" fillId="6" borderId="76" xfId="2" applyFont="1" applyFill="1" applyBorder="1" applyAlignment="1">
      <alignment horizontal="center"/>
    </xf>
    <xf numFmtId="0" fontId="47" fillId="6" borderId="52" xfId="2" applyFont="1" applyFill="1" applyBorder="1" applyAlignment="1">
      <alignment horizontal="center"/>
    </xf>
    <xf numFmtId="0" fontId="47" fillId="6" borderId="63" xfId="2" applyFont="1" applyFill="1" applyBorder="1" applyAlignment="1">
      <alignment horizontal="center"/>
    </xf>
    <xf numFmtId="0" fontId="47" fillId="6" borderId="23" xfId="2" applyFont="1" applyFill="1" applyBorder="1" applyAlignment="1">
      <alignment horizontal="center"/>
    </xf>
    <xf numFmtId="0" fontId="47" fillId="6" borderId="65" xfId="2" applyFont="1" applyFill="1" applyBorder="1" applyAlignment="1">
      <alignment horizontal="center"/>
    </xf>
    <xf numFmtId="0" fontId="47" fillId="6" borderId="77" xfId="2" applyFont="1" applyFill="1" applyBorder="1" applyAlignment="1">
      <alignment horizontal="center"/>
    </xf>
    <xf numFmtId="0" fontId="47" fillId="6" borderId="62" xfId="2" applyFont="1" applyFill="1" applyBorder="1" applyAlignment="1">
      <alignment horizontal="center"/>
    </xf>
    <xf numFmtId="0" fontId="47" fillId="6" borderId="53" xfId="2" applyFont="1" applyFill="1" applyBorder="1" applyAlignment="1">
      <alignment horizontal="center"/>
    </xf>
    <xf numFmtId="0" fontId="46" fillId="6" borderId="72" xfId="2" applyFont="1" applyFill="1" applyBorder="1" applyAlignment="1">
      <alignment horizontal="center" vertical="center"/>
    </xf>
    <xf numFmtId="0" fontId="46" fillId="6" borderId="75" xfId="2" applyFont="1" applyFill="1" applyBorder="1" applyAlignment="1">
      <alignment horizontal="center" vertical="center"/>
    </xf>
    <xf numFmtId="0" fontId="46" fillId="6" borderId="73" xfId="2" applyFont="1" applyFill="1" applyBorder="1" applyAlignment="1">
      <alignment horizontal="center" vertical="center"/>
    </xf>
    <xf numFmtId="0" fontId="0" fillId="0" borderId="61" xfId="0" applyBorder="1" applyAlignment="1">
      <alignment horizontal="center"/>
    </xf>
    <xf numFmtId="0" fontId="0" fillId="0" borderId="60"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44" fillId="0" borderId="59" xfId="0" applyFont="1" applyBorder="1" applyAlignment="1">
      <alignment horizontal="center" vertical="center" wrapText="1"/>
    </xf>
    <xf numFmtId="0" fontId="44" fillId="0" borderId="58" xfId="0" applyFont="1" applyBorder="1" applyAlignment="1">
      <alignment horizontal="center" vertical="center" wrapText="1"/>
    </xf>
    <xf numFmtId="0" fontId="44" fillId="0" borderId="32" xfId="0" applyFont="1" applyBorder="1" applyAlignment="1">
      <alignment horizontal="center" vertical="center" wrapText="1"/>
    </xf>
    <xf numFmtId="0" fontId="45" fillId="0" borderId="57" xfId="0" applyFont="1" applyBorder="1" applyAlignment="1">
      <alignment horizontal="center" vertical="center" wrapText="1"/>
    </xf>
    <xf numFmtId="0" fontId="45" fillId="0" borderId="11" xfId="0" applyFont="1" applyBorder="1" applyAlignment="1">
      <alignment horizontal="center" vertical="center" wrapText="1"/>
    </xf>
    <xf numFmtId="0" fontId="45" fillId="0" borderId="56" xfId="0" applyFont="1" applyBorder="1" applyAlignment="1">
      <alignment horizontal="center" vertical="center" wrapText="1"/>
    </xf>
    <xf numFmtId="0" fontId="45" fillId="0" borderId="19" xfId="0" applyFont="1" applyBorder="1" applyAlignment="1">
      <alignment horizontal="center" vertical="center" wrapText="1"/>
    </xf>
    <xf numFmtId="0" fontId="78" fillId="2" borderId="0" xfId="0" applyFont="1" applyFill="1" applyAlignment="1">
      <alignment horizontal="center"/>
    </xf>
    <xf numFmtId="0" fontId="81" fillId="0" borderId="4" xfId="0" applyFont="1" applyBorder="1" applyAlignment="1">
      <alignment horizontal="center" vertical="center"/>
    </xf>
    <xf numFmtId="0" fontId="84" fillId="2" borderId="0" xfId="0" applyFont="1" applyFill="1" applyAlignment="1">
      <alignment horizontal="center"/>
    </xf>
    <xf numFmtId="0" fontId="78" fillId="0" borderId="0" xfId="0" applyFont="1" applyAlignment="1">
      <alignment horizontal="left"/>
    </xf>
    <xf numFmtId="164" fontId="81" fillId="2" borderId="4" xfId="1" applyFont="1" applyFill="1" applyBorder="1" applyAlignment="1">
      <alignment horizontal="center" vertical="center" wrapText="1"/>
    </xf>
    <xf numFmtId="49" fontId="81" fillId="2" borderId="46" xfId="0" applyNumberFormat="1" applyFont="1" applyFill="1" applyBorder="1" applyAlignment="1">
      <alignment horizontal="left" vertical="center"/>
    </xf>
    <xf numFmtId="49" fontId="81" fillId="2" borderId="51" xfId="0" applyNumberFormat="1" applyFont="1" applyFill="1" applyBorder="1" applyAlignment="1">
      <alignment horizontal="left" vertical="center"/>
    </xf>
    <xf numFmtId="49" fontId="81" fillId="2" borderId="105" xfId="0" applyNumberFormat="1" applyFont="1" applyFill="1" applyBorder="1" applyAlignment="1">
      <alignment horizontal="left" vertical="center"/>
    </xf>
    <xf numFmtId="49" fontId="81" fillId="2" borderId="106" xfId="0" applyNumberFormat="1" applyFont="1" applyFill="1" applyBorder="1" applyAlignment="1">
      <alignment horizontal="left" vertical="center"/>
    </xf>
    <xf numFmtId="0" fontId="81" fillId="0" borderId="84" xfId="0" applyFont="1" applyBorder="1" applyAlignment="1">
      <alignment horizontal="center" vertical="center" wrapText="1"/>
    </xf>
    <xf numFmtId="0" fontId="81" fillId="0" borderId="102" xfId="0" applyFont="1" applyBorder="1" applyAlignment="1">
      <alignment horizontal="center" vertical="center" wrapText="1"/>
    </xf>
    <xf numFmtId="0" fontId="81" fillId="0" borderId="85" xfId="0" applyFont="1" applyBorder="1" applyAlignment="1">
      <alignment horizontal="center" vertical="center" wrapText="1"/>
    </xf>
    <xf numFmtId="0" fontId="78" fillId="2" borderId="1" xfId="0" applyFont="1" applyFill="1" applyBorder="1" applyAlignment="1">
      <alignment horizontal="center"/>
    </xf>
    <xf numFmtId="0" fontId="78" fillId="2" borderId="2" xfId="0" applyFont="1" applyFill="1" applyBorder="1" applyAlignment="1">
      <alignment horizontal="center"/>
    </xf>
    <xf numFmtId="0" fontId="78" fillId="2" borderId="3" xfId="0" applyFont="1" applyFill="1" applyBorder="1" applyAlignment="1">
      <alignment horizontal="center"/>
    </xf>
    <xf numFmtId="0" fontId="79" fillId="2" borderId="1" xfId="0" applyFont="1" applyFill="1" applyBorder="1" applyAlignment="1">
      <alignment horizontal="center" vertical="center"/>
    </xf>
    <xf numFmtId="0" fontId="79" fillId="2" borderId="2" xfId="0" applyFont="1" applyFill="1" applyBorder="1" applyAlignment="1">
      <alignment horizontal="center" vertical="center"/>
    </xf>
    <xf numFmtId="0" fontId="79" fillId="2" borderId="3" xfId="0" applyFont="1" applyFill="1" applyBorder="1" applyAlignment="1">
      <alignment horizontal="center" vertical="center"/>
    </xf>
    <xf numFmtId="0" fontId="81" fillId="0" borderId="4" xfId="0" applyFont="1" applyBorder="1" applyAlignment="1">
      <alignment horizontal="center" vertical="center" wrapText="1"/>
    </xf>
    <xf numFmtId="0" fontId="81" fillId="0" borderId="4" xfId="0" applyFont="1" applyBorder="1" applyAlignment="1">
      <alignment horizontal="center"/>
    </xf>
    <xf numFmtId="0" fontId="81" fillId="3" borderId="4" xfId="0" applyFont="1" applyFill="1" applyBorder="1" applyAlignment="1">
      <alignment horizontal="center" vertical="center" wrapText="1"/>
    </xf>
    <xf numFmtId="0" fontId="81" fillId="2" borderId="87" xfId="0" applyFont="1" applyFill="1" applyBorder="1" applyAlignment="1">
      <alignment horizontal="right" vertical="center"/>
    </xf>
    <xf numFmtId="0" fontId="81" fillId="2" borderId="88" xfId="0" applyFont="1" applyFill="1" applyBorder="1" applyAlignment="1">
      <alignment horizontal="right" vertical="center"/>
    </xf>
    <xf numFmtId="0" fontId="83" fillId="0" borderId="103" xfId="0" applyFont="1" applyBorder="1" applyAlignment="1">
      <alignment horizontal="center" vertical="center"/>
    </xf>
    <xf numFmtId="0" fontId="83" fillId="0" borderId="104" xfId="0" applyFont="1" applyBorder="1" applyAlignment="1">
      <alignment horizontal="center" vertical="center"/>
    </xf>
    <xf numFmtId="0" fontId="83" fillId="0" borderId="27" xfId="0" applyFont="1" applyBorder="1" applyAlignment="1">
      <alignment horizontal="center" vertical="center"/>
    </xf>
    <xf numFmtId="0" fontId="79" fillId="2" borderId="47" xfId="0" applyFont="1" applyFill="1" applyBorder="1" applyAlignment="1">
      <alignment horizontal="right" vertical="center"/>
    </xf>
    <xf numFmtId="0" fontId="81" fillId="3" borderId="46" xfId="0" applyFont="1" applyFill="1" applyBorder="1" applyAlignment="1">
      <alignment horizontal="center"/>
    </xf>
    <xf numFmtId="0" fontId="81" fillId="3" borderId="47" xfId="0" applyFont="1" applyFill="1" applyBorder="1" applyAlignment="1">
      <alignment horizontal="center"/>
    </xf>
    <xf numFmtId="0" fontId="81" fillId="3" borderId="51" xfId="0" applyFont="1" applyFill="1" applyBorder="1" applyAlignment="1">
      <alignment horizontal="center"/>
    </xf>
    <xf numFmtId="0" fontId="31" fillId="0" borderId="30" xfId="5" applyFont="1" applyBorder="1" applyAlignment="1">
      <alignment horizontal="center" vertical="center" wrapText="1"/>
    </xf>
    <xf numFmtId="0" fontId="31" fillId="0" borderId="29" xfId="5" applyFont="1" applyBorder="1" applyAlignment="1">
      <alignment horizontal="center" vertical="center" wrapText="1"/>
    </xf>
    <xf numFmtId="0" fontId="31" fillId="0" borderId="78" xfId="5" applyFont="1" applyBorder="1" applyAlignment="1">
      <alignment horizontal="center" vertical="center" wrapText="1"/>
    </xf>
    <xf numFmtId="0" fontId="23" fillId="0" borderId="68" xfId="5" applyFont="1" applyBorder="1" applyAlignment="1">
      <alignment horizontal="center" vertical="center" wrapText="1"/>
    </xf>
    <xf numFmtId="0" fontId="31" fillId="0" borderId="25" xfId="5" applyFont="1" applyBorder="1" applyAlignment="1">
      <alignment horizontal="center" vertical="center" wrapText="1"/>
    </xf>
    <xf numFmtId="0" fontId="14" fillId="0" borderId="67" xfId="5" applyBorder="1" applyAlignment="1">
      <alignment horizontal="center" vertical="center" textRotation="90" wrapText="1"/>
    </xf>
    <xf numFmtId="0" fontId="14" fillId="0" borderId="69" xfId="5" applyBorder="1" applyAlignment="1">
      <alignment horizontal="center" vertical="center" textRotation="90" wrapText="1"/>
    </xf>
    <xf numFmtId="0" fontId="27" fillId="0" borderId="67" xfId="5" applyFont="1" applyBorder="1" applyAlignment="1">
      <alignment horizontal="center" vertical="center" wrapText="1"/>
    </xf>
    <xf numFmtId="0" fontId="27" fillId="0" borderId="32" xfId="5" applyFont="1" applyBorder="1" applyAlignment="1">
      <alignment horizontal="center" vertical="center" wrapText="1"/>
    </xf>
    <xf numFmtId="0" fontId="14" fillId="0" borderId="67" xfId="5" applyBorder="1" applyAlignment="1">
      <alignment horizontal="center" vertical="center" textRotation="90"/>
    </xf>
    <xf numFmtId="0" fontId="14" fillId="0" borderId="69" xfId="5" applyBorder="1" applyAlignment="1">
      <alignment horizontal="center" vertical="center" textRotation="90"/>
    </xf>
    <xf numFmtId="0" fontId="23" fillId="0" borderId="32" xfId="5" applyFont="1" applyBorder="1" applyAlignment="1">
      <alignment horizontal="center" vertical="center" wrapText="1"/>
    </xf>
    <xf numFmtId="0" fontId="23" fillId="0" borderId="72" xfId="5" applyFont="1" applyBorder="1" applyAlignment="1">
      <alignment horizontal="center" vertical="center" wrapText="1"/>
    </xf>
    <xf numFmtId="0" fontId="23" fillId="0" borderId="73" xfId="5" applyFont="1" applyBorder="1" applyAlignment="1">
      <alignment horizontal="center" vertical="center" wrapText="1"/>
    </xf>
    <xf numFmtId="0" fontId="23" fillId="0" borderId="74" xfId="5" applyFont="1" applyBorder="1" applyAlignment="1">
      <alignment horizontal="center" vertical="center" wrapText="1"/>
    </xf>
    <xf numFmtId="0" fontId="23" fillId="0" borderId="66" xfId="5" applyFont="1" applyBorder="1" applyAlignment="1">
      <alignment horizontal="center" vertical="center" wrapText="1"/>
    </xf>
    <xf numFmtId="0" fontId="23" fillId="0" borderId="75" xfId="5" applyFont="1" applyBorder="1" applyAlignment="1">
      <alignment horizontal="center" vertical="center" wrapText="1"/>
    </xf>
    <xf numFmtId="0" fontId="31" fillId="0" borderId="79" xfId="5" applyFont="1" applyBorder="1" applyAlignment="1">
      <alignment horizontal="center" vertical="center" wrapText="1"/>
    </xf>
    <xf numFmtId="0" fontId="31" fillId="0" borderId="80" xfId="5" applyFont="1" applyBorder="1" applyAlignment="1">
      <alignment horizontal="center" vertical="center" wrapText="1"/>
    </xf>
    <xf numFmtId="0" fontId="31" fillId="0" borderId="81" xfId="5" applyFont="1" applyBorder="1" applyAlignment="1">
      <alignment horizontal="center" vertical="center" wrapText="1"/>
    </xf>
    <xf numFmtId="0" fontId="16" fillId="2" borderId="7"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0" fillId="2" borderId="5" xfId="0" applyFill="1" applyBorder="1" applyAlignment="1">
      <alignment horizontal="center" vertical="center" wrapText="1"/>
    </xf>
    <xf numFmtId="0" fontId="16" fillId="2" borderId="5" xfId="0" applyFont="1" applyFill="1" applyBorder="1" applyAlignment="1">
      <alignment horizontal="center" vertical="center" wrapText="1"/>
    </xf>
    <xf numFmtId="0" fontId="85" fillId="14" borderId="0" xfId="13" applyFont="1" applyFill="1" applyAlignment="1">
      <alignment horizontal="center" vertical="center" wrapText="1"/>
    </xf>
    <xf numFmtId="0" fontId="85" fillId="14" borderId="0" xfId="13" applyFont="1" applyFill="1" applyAlignment="1">
      <alignment horizontal="center" vertical="center"/>
    </xf>
    <xf numFmtId="0" fontId="85" fillId="14" borderId="87" xfId="13" applyFont="1" applyFill="1" applyBorder="1" applyAlignment="1">
      <alignment horizontal="center" vertical="center"/>
    </xf>
    <xf numFmtId="0" fontId="91" fillId="10" borderId="111" xfId="17" applyFont="1" applyFill="1" applyBorder="1" applyAlignment="1">
      <alignment horizontal="center" vertical="center"/>
    </xf>
    <xf numFmtId="0" fontId="91" fillId="10" borderId="110" xfId="17" applyFont="1" applyFill="1" applyBorder="1" applyAlignment="1">
      <alignment horizontal="center" vertical="center"/>
    </xf>
    <xf numFmtId="175" fontId="91" fillId="10" borderId="111" xfId="20" applyNumberFormat="1" applyFont="1" applyFill="1" applyBorder="1" applyAlignment="1">
      <alignment horizontal="center" vertical="center"/>
    </xf>
    <xf numFmtId="175" fontId="91" fillId="10" borderId="99" xfId="20" applyNumberFormat="1" applyFont="1" applyFill="1" applyBorder="1" applyAlignment="1">
      <alignment horizontal="center" vertical="center"/>
    </xf>
    <xf numFmtId="2" fontId="12" fillId="0" borderId="108" xfId="17" applyNumberFormat="1" applyBorder="1" applyAlignment="1">
      <alignment horizontal="center" vertical="center"/>
    </xf>
    <xf numFmtId="0" fontId="16" fillId="0" borderId="84" xfId="13" applyBorder="1" applyAlignment="1">
      <alignment horizontal="center" vertical="center"/>
    </xf>
    <xf numFmtId="0" fontId="16" fillId="0" borderId="85" xfId="13" applyBorder="1" applyAlignment="1">
      <alignment horizontal="center" vertical="center"/>
    </xf>
    <xf numFmtId="44" fontId="30" fillId="0" borderId="0" xfId="17" applyNumberFormat="1" applyFont="1" applyAlignment="1">
      <alignment horizontal="center" vertical="center"/>
    </xf>
    <xf numFmtId="2" fontId="12" fillId="0" borderId="0" xfId="17" applyNumberFormat="1" applyAlignment="1">
      <alignment horizontal="center"/>
    </xf>
    <xf numFmtId="0" fontId="12" fillId="0" borderId="0" xfId="17" applyAlignment="1">
      <alignment horizontal="center"/>
    </xf>
    <xf numFmtId="0" fontId="30" fillId="0" borderId="0" xfId="17" applyFont="1" applyAlignment="1">
      <alignment horizontal="center" vertical="center"/>
    </xf>
    <xf numFmtId="0" fontId="16" fillId="0" borderId="46" xfId="13" applyBorder="1" applyAlignment="1">
      <alignment horizontal="left" vertical="center"/>
    </xf>
    <xf numFmtId="0" fontId="16" fillId="0" borderId="47" xfId="13" applyBorder="1" applyAlignment="1">
      <alignment horizontal="left" vertical="center"/>
    </xf>
    <xf numFmtId="0" fontId="16" fillId="0" borderId="51" xfId="13" applyBorder="1" applyAlignment="1">
      <alignment horizontal="left" vertical="center"/>
    </xf>
    <xf numFmtId="0" fontId="0" fillId="0" borderId="0" xfId="0" applyAlignment="1">
      <alignment horizontal="center"/>
    </xf>
    <xf numFmtId="0" fontId="0" fillId="7" borderId="0" xfId="0" applyFill="1" applyAlignment="1">
      <alignment horizontal="right" vertical="center"/>
    </xf>
    <xf numFmtId="2" fontId="0" fillId="7" borderId="0" xfId="0" applyNumberFormat="1" applyFill="1" applyAlignment="1">
      <alignment horizontal="center"/>
    </xf>
    <xf numFmtId="4" fontId="0" fillId="7" borderId="0" xfId="0" applyNumberFormat="1" applyFill="1" applyAlignment="1">
      <alignment horizontal="center"/>
    </xf>
    <xf numFmtId="2" fontId="0" fillId="10" borderId="9" xfId="0" applyNumberFormat="1" applyFill="1" applyBorder="1" applyAlignment="1">
      <alignment horizontal="center" vertical="center"/>
    </xf>
    <xf numFmtId="2" fontId="0" fillId="10" borderId="8" xfId="0" applyNumberFormat="1" applyFill="1"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right"/>
    </xf>
    <xf numFmtId="0" fontId="15" fillId="0" borderId="10" xfId="0" applyFont="1" applyBorder="1" applyAlignment="1">
      <alignment horizontal="right"/>
    </xf>
    <xf numFmtId="2" fontId="29" fillId="9" borderId="9" xfId="0" applyNumberFormat="1" applyFont="1" applyFill="1" applyBorder="1" applyAlignment="1">
      <alignment horizontal="center" vertical="center"/>
    </xf>
    <xf numFmtId="2" fontId="29" fillId="9" borderId="8" xfId="0" applyNumberFormat="1" applyFont="1" applyFill="1" applyBorder="1" applyAlignment="1">
      <alignment horizontal="center" vertical="center"/>
    </xf>
    <xf numFmtId="0" fontId="28" fillId="8" borderId="0" xfId="0" applyFont="1" applyFill="1" applyAlignment="1">
      <alignment horizontal="center" vertical="center"/>
    </xf>
    <xf numFmtId="0" fontId="0" fillId="0" borderId="13" xfId="0" applyBorder="1" applyAlignment="1">
      <alignment horizontal="center" vertical="center"/>
    </xf>
    <xf numFmtId="0" fontId="15" fillId="6" borderId="18" xfId="0" applyFont="1" applyFill="1" applyBorder="1" applyAlignment="1">
      <alignment horizontal="center" vertical="center"/>
    </xf>
    <xf numFmtId="2" fontId="31" fillId="0" borderId="14" xfId="0" applyNumberFormat="1" applyFont="1" applyBorder="1" applyAlignment="1">
      <alignment horizontal="center"/>
    </xf>
    <xf numFmtId="2" fontId="31" fillId="0" borderId="9" xfId="0" applyNumberFormat="1" applyFont="1" applyBorder="1" applyAlignment="1">
      <alignment horizontal="center"/>
    </xf>
    <xf numFmtId="2" fontId="31" fillId="0" borderId="8" xfId="0" applyNumberFormat="1" applyFont="1" applyBorder="1" applyAlignment="1">
      <alignment horizontal="center"/>
    </xf>
    <xf numFmtId="2" fontId="31" fillId="6" borderId="0" xfId="0" applyNumberFormat="1" applyFont="1" applyFill="1" applyAlignment="1">
      <alignment horizontal="center"/>
    </xf>
    <xf numFmtId="0" fontId="30" fillId="0" borderId="9" xfId="0" applyFont="1" applyBorder="1" applyAlignment="1">
      <alignment horizontal="left"/>
    </xf>
    <xf numFmtId="0" fontId="30" fillId="0" borderId="18" xfId="0" applyFont="1" applyBorder="1" applyAlignment="1">
      <alignment horizontal="left"/>
    </xf>
    <xf numFmtId="0" fontId="30" fillId="0" borderId="8" xfId="0" applyFont="1" applyBorder="1" applyAlignment="1">
      <alignment horizontal="left"/>
    </xf>
    <xf numFmtId="2" fontId="29" fillId="9" borderId="14" xfId="0" applyNumberFormat="1" applyFont="1" applyFill="1" applyBorder="1" applyAlignment="1">
      <alignment horizontal="center"/>
    </xf>
    <xf numFmtId="0" fontId="28" fillId="11" borderId="22" xfId="0" applyFont="1" applyFill="1" applyBorder="1" applyAlignment="1">
      <alignment horizontal="center" vertical="center"/>
    </xf>
    <xf numFmtId="0" fontId="28" fillId="11" borderId="18" xfId="0" applyFont="1" applyFill="1" applyBorder="1" applyAlignment="1">
      <alignment horizontal="center" vertical="center"/>
    </xf>
    <xf numFmtId="0" fontId="28" fillId="11" borderId="21" xfId="0" applyFont="1" applyFill="1" applyBorder="1" applyAlignment="1">
      <alignment horizontal="center" vertical="center"/>
    </xf>
    <xf numFmtId="0" fontId="33" fillId="13" borderId="23" xfId="0" applyFont="1" applyFill="1" applyBorder="1" applyAlignment="1">
      <alignment horizontal="center" vertical="center"/>
    </xf>
    <xf numFmtId="0" fontId="33" fillId="13" borderId="0" xfId="0" applyFont="1" applyFill="1" applyAlignment="1">
      <alignment horizontal="center" vertical="center"/>
    </xf>
    <xf numFmtId="0" fontId="32" fillId="13" borderId="23" xfId="0" applyFont="1" applyFill="1" applyBorder="1" applyAlignment="1">
      <alignment horizontal="center" vertical="center"/>
    </xf>
    <xf numFmtId="0" fontId="32" fillId="13" borderId="0" xfId="0" applyFont="1" applyFill="1" applyAlignment="1">
      <alignment horizontal="center" vertical="center"/>
    </xf>
    <xf numFmtId="0" fontId="28" fillId="11" borderId="23" xfId="0" applyFont="1" applyFill="1" applyBorder="1" applyAlignment="1">
      <alignment horizontal="center" vertical="center"/>
    </xf>
    <xf numFmtId="0" fontId="28" fillId="11" borderId="0" xfId="0" applyFont="1" applyFill="1" applyAlignment="1">
      <alignment horizontal="center" vertical="center"/>
    </xf>
    <xf numFmtId="0" fontId="0" fillId="0" borderId="9" xfId="0" applyBorder="1" applyAlignment="1">
      <alignment horizontal="center"/>
    </xf>
    <xf numFmtId="0" fontId="0" fillId="0" borderId="18" xfId="0" applyBorder="1" applyAlignment="1">
      <alignment horizontal="center"/>
    </xf>
    <xf numFmtId="0" fontId="0" fillId="0" borderId="8" xfId="0" applyBorder="1" applyAlignment="1">
      <alignment horizontal="center"/>
    </xf>
    <xf numFmtId="0" fontId="16" fillId="12" borderId="13" xfId="0" applyFont="1" applyFill="1" applyBorder="1" applyAlignment="1">
      <alignment horizontal="center"/>
    </xf>
    <xf numFmtId="0" fontId="0" fillId="12" borderId="13" xfId="0" applyFill="1" applyBorder="1" applyAlignment="1">
      <alignment horizontal="center"/>
    </xf>
    <xf numFmtId="0" fontId="0" fillId="10" borderId="9" xfId="0" applyFill="1" applyBorder="1" applyAlignment="1">
      <alignment horizontal="center"/>
    </xf>
    <xf numFmtId="0" fontId="0" fillId="10" borderId="8" xfId="0" applyFill="1" applyBorder="1" applyAlignment="1">
      <alignment horizontal="center"/>
    </xf>
    <xf numFmtId="0" fontId="0" fillId="6" borderId="18" xfId="0" applyFill="1" applyBorder="1" applyAlignment="1">
      <alignment horizontal="center" vertical="center"/>
    </xf>
    <xf numFmtId="0" fontId="0" fillId="6" borderId="8" xfId="0" applyFill="1" applyBorder="1" applyAlignment="1">
      <alignment horizontal="center" vertical="center"/>
    </xf>
    <xf numFmtId="0" fontId="81" fillId="32" borderId="150" xfId="2" applyFont="1" applyFill="1" applyBorder="1" applyAlignment="1">
      <alignment horizontal="center" vertical="center"/>
    </xf>
    <xf numFmtId="0" fontId="81" fillId="32" borderId="151" xfId="2" applyFont="1" applyFill="1" applyBorder="1" applyAlignment="1">
      <alignment horizontal="center" vertical="center"/>
    </xf>
    <xf numFmtId="0" fontId="81" fillId="32" borderId="152" xfId="2" applyFont="1" applyFill="1" applyBorder="1" applyAlignment="1">
      <alignment horizontal="center" vertical="center"/>
    </xf>
    <xf numFmtId="0" fontId="79" fillId="14" borderId="142" xfId="2" applyFont="1" applyFill="1" applyBorder="1" applyAlignment="1">
      <alignment horizontal="center" vertical="center"/>
    </xf>
    <xf numFmtId="0" fontId="79" fillId="14" borderId="143" xfId="2" applyFont="1" applyFill="1" applyBorder="1" applyAlignment="1">
      <alignment horizontal="center" vertical="center"/>
    </xf>
    <xf numFmtId="0" fontId="79" fillId="14" borderId="144" xfId="2" applyFont="1" applyFill="1" applyBorder="1" applyAlignment="1">
      <alignment horizontal="center" vertical="center"/>
    </xf>
    <xf numFmtId="0" fontId="79" fillId="14" borderId="145" xfId="2" applyFont="1" applyFill="1" applyBorder="1" applyAlignment="1">
      <alignment horizontal="center" vertical="center"/>
    </xf>
    <xf numFmtId="0" fontId="35" fillId="0" borderId="30" xfId="3" applyFont="1" applyBorder="1" applyAlignment="1">
      <alignment horizontal="center" vertical="center" wrapText="1"/>
    </xf>
    <xf numFmtId="0" fontId="35" fillId="0" borderId="29" xfId="3" applyFont="1" applyBorder="1" applyAlignment="1">
      <alignment horizontal="center" vertical="center" wrapText="1"/>
    </xf>
    <xf numFmtId="0" fontId="35" fillId="0" borderId="28" xfId="3" applyFont="1" applyBorder="1" applyAlignment="1">
      <alignment horizontal="center" vertical="center" wrapText="1"/>
    </xf>
    <xf numFmtId="0" fontId="35" fillId="0" borderId="0" xfId="3" applyFont="1" applyAlignment="1">
      <alignment horizontal="center" vertical="center" wrapText="1"/>
    </xf>
    <xf numFmtId="0" fontId="148" fillId="24" borderId="0" xfId="2" applyFont="1" applyFill="1" applyAlignment="1">
      <alignment horizontal="center" vertical="center"/>
    </xf>
    <xf numFmtId="0" fontId="85" fillId="14" borderId="153" xfId="43" applyFont="1" applyFill="1" applyBorder="1" applyAlignment="1">
      <alignment horizontal="center" vertical="center"/>
    </xf>
    <xf numFmtId="0" fontId="85" fillId="14" borderId="154" xfId="43" applyFont="1" applyFill="1" applyBorder="1" applyAlignment="1">
      <alignment horizontal="center" vertical="center"/>
    </xf>
    <xf numFmtId="0" fontId="85" fillId="14" borderId="157" xfId="43" applyFont="1" applyFill="1" applyBorder="1" applyAlignment="1">
      <alignment horizontal="center" vertical="center"/>
    </xf>
    <xf numFmtId="0" fontId="85" fillId="14" borderId="155" xfId="43" applyFont="1" applyFill="1" applyBorder="1" applyAlignment="1">
      <alignment horizontal="center" vertical="center"/>
    </xf>
    <xf numFmtId="0" fontId="85" fillId="14" borderId="156" xfId="43" applyFont="1" applyFill="1" applyBorder="1" applyAlignment="1">
      <alignment horizontal="center" vertical="center"/>
    </xf>
    <xf numFmtId="0" fontId="85" fillId="14" borderId="158" xfId="43" applyFont="1" applyFill="1" applyBorder="1" applyAlignment="1">
      <alignment horizontal="center" vertical="center"/>
    </xf>
    <xf numFmtId="0" fontId="117" fillId="0" borderId="19" xfId="0" applyFont="1" applyBorder="1" applyAlignment="1">
      <alignment horizontal="left" vertical="center"/>
    </xf>
    <xf numFmtId="0" fontId="160" fillId="20" borderId="14" xfId="0" applyFont="1" applyFill="1" applyBorder="1" applyAlignment="1">
      <alignment horizontal="center" vertical="center"/>
    </xf>
    <xf numFmtId="0" fontId="36" fillId="0" borderId="31" xfId="0" applyFont="1" applyBorder="1" applyAlignment="1">
      <alignment horizontal="center" vertical="center" wrapText="1"/>
    </xf>
    <xf numFmtId="0" fontId="0" fillId="0" borderId="50" xfId="0" applyBorder="1" applyAlignment="1">
      <alignment horizontal="center" vertical="center"/>
    </xf>
    <xf numFmtId="0" fontId="30" fillId="13" borderId="31" xfId="0" applyFont="1" applyFill="1" applyBorder="1" applyAlignment="1">
      <alignment horizontal="center" vertical="center" wrapText="1"/>
    </xf>
    <xf numFmtId="0" fontId="32" fillId="14" borderId="31" xfId="0" applyFont="1" applyFill="1" applyBorder="1" applyAlignment="1">
      <alignment horizontal="center" vertical="center" wrapText="1"/>
    </xf>
    <xf numFmtId="0" fontId="32" fillId="14" borderId="31" xfId="0" applyFont="1" applyFill="1" applyBorder="1"/>
    <xf numFmtId="0" fontId="39" fillId="0" borderId="42" xfId="0" applyFont="1" applyBorder="1" applyAlignment="1">
      <alignment horizontal="left" vertical="center" wrapText="1"/>
    </xf>
    <xf numFmtId="0" fontId="0" fillId="0" borderId="40" xfId="0" applyBorder="1" applyAlignment="1">
      <alignment vertical="center"/>
    </xf>
    <xf numFmtId="0" fontId="39" fillId="0" borderId="41" xfId="0" applyFont="1" applyBorder="1" applyAlignment="1">
      <alignment horizontal="left" vertical="center" wrapText="1"/>
    </xf>
    <xf numFmtId="0" fontId="39" fillId="0" borderId="39" xfId="0" applyFont="1" applyBorder="1" applyAlignment="1">
      <alignment horizontal="left" vertical="center" wrapText="1"/>
    </xf>
    <xf numFmtId="0" fontId="15" fillId="13" borderId="37" xfId="0" applyFont="1" applyFill="1" applyBorder="1" applyAlignment="1">
      <alignment horizontal="center" vertical="center" wrapText="1"/>
    </xf>
    <xf numFmtId="0" fontId="15" fillId="13" borderId="36" xfId="0" applyFont="1" applyFill="1" applyBorder="1" applyAlignment="1">
      <alignment horizontal="center" vertical="center" wrapText="1"/>
    </xf>
    <xf numFmtId="0" fontId="15" fillId="14" borderId="45" xfId="0" applyFont="1" applyFill="1" applyBorder="1" applyAlignment="1">
      <alignment horizontal="center" vertical="center" wrapText="1"/>
    </xf>
    <xf numFmtId="0" fontId="15" fillId="14" borderId="38" xfId="0" applyFont="1" applyFill="1" applyBorder="1" applyAlignment="1">
      <alignment horizontal="center" vertical="center" wrapText="1"/>
    </xf>
    <xf numFmtId="0" fontId="15" fillId="14" borderId="44" xfId="0" applyFont="1" applyFill="1" applyBorder="1" applyAlignment="1">
      <alignment horizontal="center" vertical="center" wrapText="1"/>
    </xf>
    <xf numFmtId="0" fontId="15" fillId="14" borderId="4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0" borderId="4" xfId="0" applyFont="1" applyBorder="1" applyAlignment="1">
      <alignment horizontal="center" vertical="center" wrapText="1"/>
    </xf>
    <xf numFmtId="0" fontId="20" fillId="2" borderId="4" xfId="0" applyFont="1" applyFill="1" applyBorder="1" applyAlignment="1">
      <alignment horizontal="center" vertical="center" wrapText="1"/>
    </xf>
    <xf numFmtId="0" fontId="17" fillId="2" borderId="1" xfId="0" applyFont="1" applyFill="1" applyBorder="1" applyAlignment="1">
      <alignment horizontal="center"/>
    </xf>
    <xf numFmtId="0" fontId="17" fillId="2" borderId="2" xfId="0" applyFont="1" applyFill="1" applyBorder="1" applyAlignment="1">
      <alignment horizontal="center"/>
    </xf>
    <xf numFmtId="0" fontId="17" fillId="2" borderId="3" xfId="0" applyFont="1" applyFill="1" applyBorder="1" applyAlignment="1">
      <alignment horizontal="center"/>
    </xf>
    <xf numFmtId="0" fontId="18" fillId="2" borderId="1"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20" fillId="0" borderId="4" xfId="0" applyFont="1" applyBorder="1" applyAlignment="1">
      <alignment horizontal="center" vertical="center"/>
    </xf>
    <xf numFmtId="0" fontId="20" fillId="0" borderId="4" xfId="0" applyFont="1" applyBorder="1" applyAlignment="1">
      <alignment horizontal="center"/>
    </xf>
    <xf numFmtId="0" fontId="20" fillId="3" borderId="46" xfId="0" applyFont="1" applyFill="1" applyBorder="1" applyAlignment="1">
      <alignment horizontal="center"/>
    </xf>
    <xf numFmtId="0" fontId="20" fillId="3" borderId="47" xfId="0" applyFont="1" applyFill="1" applyBorder="1" applyAlignment="1">
      <alignment horizontal="center"/>
    </xf>
    <xf numFmtId="0" fontId="20" fillId="3" borderId="51" xfId="0" applyFont="1" applyFill="1" applyBorder="1" applyAlignment="1">
      <alignment horizontal="center"/>
    </xf>
    <xf numFmtId="164" fontId="23" fillId="2" borderId="4" xfId="1" applyFont="1" applyFill="1" applyBorder="1" applyAlignment="1">
      <alignment horizontal="center" vertical="center" wrapText="1"/>
    </xf>
    <xf numFmtId="0" fontId="0" fillId="2" borderId="0" xfId="0" applyFill="1" applyAlignment="1">
      <alignment horizontal="center"/>
    </xf>
    <xf numFmtId="0" fontId="24" fillId="2" borderId="4" xfId="0" applyFont="1" applyFill="1" applyBorder="1" applyAlignment="1">
      <alignment horizontal="center" vertical="center"/>
    </xf>
    <xf numFmtId="0" fontId="46" fillId="2" borderId="4" xfId="0" applyFont="1" applyFill="1" applyBorder="1" applyAlignment="1">
      <alignment horizontal="center" vertical="center"/>
    </xf>
    <xf numFmtId="0" fontId="16" fillId="0" borderId="0" xfId="0" applyFont="1" applyAlignment="1">
      <alignment horizontal="left"/>
    </xf>
    <xf numFmtId="0" fontId="16" fillId="0" borderId="0" xfId="0" applyFont="1" applyAlignment="1">
      <alignment horizontal="left" vertical="center"/>
    </xf>
    <xf numFmtId="0" fontId="25" fillId="2" borderId="0" xfId="0" applyFont="1" applyFill="1" applyAlignment="1">
      <alignment horizontal="center"/>
    </xf>
    <xf numFmtId="0" fontId="112" fillId="11" borderId="0" xfId="23" applyFont="1" applyFill="1" applyAlignment="1">
      <alignment horizontal="center" vertical="center"/>
    </xf>
    <xf numFmtId="0" fontId="113" fillId="3" borderId="128" xfId="23" applyFont="1" applyFill="1" applyBorder="1" applyAlignment="1">
      <alignment horizontal="center"/>
    </xf>
    <xf numFmtId="0" fontId="113" fillId="3" borderId="129" xfId="23" applyFont="1" applyFill="1" applyBorder="1" applyAlignment="1">
      <alignment horizontal="center"/>
    </xf>
    <xf numFmtId="0" fontId="113" fillId="3" borderId="130" xfId="23" applyFont="1" applyFill="1" applyBorder="1" applyAlignment="1">
      <alignment horizontal="center"/>
    </xf>
    <xf numFmtId="0" fontId="114" fillId="3" borderId="128" xfId="23" applyFont="1" applyFill="1" applyBorder="1" applyAlignment="1">
      <alignment horizontal="center"/>
    </xf>
    <xf numFmtId="0" fontId="114" fillId="3" borderId="129" xfId="23" applyFont="1" applyFill="1" applyBorder="1" applyAlignment="1">
      <alignment horizontal="center"/>
    </xf>
    <xf numFmtId="0" fontId="114" fillId="3" borderId="130" xfId="23" applyFont="1" applyFill="1" applyBorder="1" applyAlignment="1">
      <alignment horizontal="center"/>
    </xf>
    <xf numFmtId="0" fontId="113" fillId="12" borderId="131" xfId="23" applyFont="1" applyFill="1" applyBorder="1" applyAlignment="1">
      <alignment horizontal="center" vertical="center"/>
    </xf>
    <xf numFmtId="0" fontId="113" fillId="12" borderId="0" xfId="23" applyFont="1" applyFill="1" applyAlignment="1">
      <alignment horizontal="center" vertical="center"/>
    </xf>
    <xf numFmtId="0" fontId="113" fillId="12" borderId="132" xfId="23" applyFont="1" applyFill="1" applyBorder="1" applyAlignment="1">
      <alignment horizontal="center" vertical="center"/>
    </xf>
    <xf numFmtId="0" fontId="116" fillId="12" borderId="131" xfId="23" applyFont="1" applyFill="1" applyBorder="1" applyAlignment="1">
      <alignment horizontal="center" vertical="center"/>
    </xf>
    <xf numFmtId="0" fontId="116" fillId="12" borderId="0" xfId="23" applyFont="1" applyFill="1" applyAlignment="1">
      <alignment horizontal="center" vertical="center"/>
    </xf>
    <xf numFmtId="0" fontId="116" fillId="12" borderId="132" xfId="23" applyFont="1" applyFill="1" applyBorder="1" applyAlignment="1">
      <alignment horizontal="center" vertical="center"/>
    </xf>
    <xf numFmtId="0" fontId="15" fillId="28" borderId="28" xfId="23" applyFont="1" applyFill="1" applyBorder="1" applyAlignment="1">
      <alignment horizontal="center" vertical="center"/>
    </xf>
    <xf numFmtId="0" fontId="15" fillId="28" borderId="0" xfId="23" applyFont="1" applyFill="1" applyAlignment="1">
      <alignment horizontal="center" vertical="center"/>
    </xf>
    <xf numFmtId="0" fontId="15" fillId="28" borderId="135" xfId="23" applyFont="1" applyFill="1" applyBorder="1" applyAlignment="1">
      <alignment horizontal="center" vertical="center"/>
    </xf>
    <xf numFmtId="0" fontId="15" fillId="28" borderId="82" xfId="23" applyFont="1" applyFill="1" applyBorder="1" applyAlignment="1">
      <alignment horizontal="center" vertical="center"/>
    </xf>
    <xf numFmtId="0" fontId="15" fillId="7" borderId="103" xfId="23" applyFont="1" applyFill="1" applyBorder="1" applyAlignment="1">
      <alignment horizontal="center" vertical="center"/>
    </xf>
    <xf numFmtId="0" fontId="15" fillId="7" borderId="104" xfId="23" applyFont="1" applyFill="1" applyBorder="1" applyAlignment="1">
      <alignment horizontal="center" vertical="center"/>
    </xf>
    <xf numFmtId="0" fontId="15" fillId="7" borderId="27" xfId="23" applyFont="1" applyFill="1" applyBorder="1" applyAlignment="1">
      <alignment horizontal="center" vertical="center"/>
    </xf>
    <xf numFmtId="0" fontId="2" fillId="0" borderId="0" xfId="47" applyBorder="1" applyAlignment="1">
      <alignment horizontal="center"/>
    </xf>
    <xf numFmtId="173" fontId="150" fillId="0" borderId="161" xfId="47" applyNumberFormat="1" applyFont="1" applyBorder="1" applyAlignment="1">
      <alignment horizontal="center" vertical="center"/>
    </xf>
    <xf numFmtId="0" fontId="32" fillId="0" borderId="160" xfId="47" applyFont="1" applyBorder="1" applyAlignment="1">
      <alignment horizontal="center" vertical="center"/>
    </xf>
    <xf numFmtId="0" fontId="30" fillId="0" borderId="160" xfId="47" applyFont="1" applyBorder="1" applyAlignment="1">
      <alignment horizontal="center" vertical="center"/>
    </xf>
    <xf numFmtId="0" fontId="15" fillId="0" borderId="160" xfId="47" applyFont="1" applyBorder="1" applyAlignment="1">
      <alignment horizontal="center" vertical="center" wrapText="1"/>
    </xf>
    <xf numFmtId="0" fontId="130" fillId="0" borderId="160" xfId="47" applyFont="1" applyBorder="1" applyAlignment="1">
      <alignment horizontal="center" vertical="center"/>
    </xf>
    <xf numFmtId="0" fontId="130" fillId="0" borderId="160" xfId="47" applyFont="1" applyBorder="1" applyAlignment="1">
      <alignment horizontal="center" vertical="center" wrapText="1"/>
    </xf>
    <xf numFmtId="2" fontId="137" fillId="0" borderId="160" xfId="47" applyNumberFormat="1" applyFont="1" applyBorder="1" applyAlignment="1">
      <alignment horizontal="center" vertical="center"/>
    </xf>
    <xf numFmtId="44" fontId="130" fillId="0" borderId="160" xfId="15" applyFont="1" applyFill="1" applyBorder="1" applyAlignment="1">
      <alignment horizontal="center" vertical="center"/>
    </xf>
    <xf numFmtId="173" fontId="130" fillId="0" borderId="160" xfId="47" applyNumberFormat="1" applyFont="1" applyBorder="1" applyAlignment="1">
      <alignment horizontal="center" vertical="center"/>
    </xf>
  </cellXfs>
  <cellStyles count="49">
    <cellStyle name="Comma 2" xfId="46" xr:uid="{00000000-0005-0000-0000-000001000000}"/>
    <cellStyle name="Currency 2" xfId="45" xr:uid="{00000000-0005-0000-0000-000003000000}"/>
    <cellStyle name="Currency 3" xfId="48" xr:uid="{00000000-0005-0000-0000-000004000000}"/>
    <cellStyle name="Hiperlink 2" xfId="7" xr:uid="{00000000-0005-0000-0000-000005000000}"/>
    <cellStyle name="Hiperlink 3" xfId="36" xr:uid="{00000000-0005-0000-0000-000006000000}"/>
    <cellStyle name="Moeda" xfId="15" builtinId="4"/>
    <cellStyle name="Moeda 2" xfId="1" xr:uid="{00000000-0005-0000-0000-000007000000}"/>
    <cellStyle name="Moeda 2 2" xfId="10" xr:uid="{00000000-0005-0000-0000-000008000000}"/>
    <cellStyle name="Moeda 2 2 2" xfId="44" xr:uid="{00000000-0005-0000-0000-000009000000}"/>
    <cellStyle name="Moeda 2 2 2 2" xfId="38" xr:uid="{00000000-0005-0000-0000-00000A000000}"/>
    <cellStyle name="Moeda 2 3" xfId="22" xr:uid="{00000000-0005-0000-0000-00000B000000}"/>
    <cellStyle name="Moeda 3" xfId="12" xr:uid="{00000000-0005-0000-0000-00000C000000}"/>
    <cellStyle name="Moeda 3 2" xfId="34" xr:uid="{00000000-0005-0000-0000-00000D000000}"/>
    <cellStyle name="Moeda 4" xfId="19" xr:uid="{00000000-0005-0000-0000-00000E000000}"/>
    <cellStyle name="Moeda 5" xfId="25" xr:uid="{00000000-0005-0000-0000-00000F000000}"/>
    <cellStyle name="Moeda 6" xfId="28" xr:uid="{00000000-0005-0000-0000-000010000000}"/>
    <cellStyle name="Moeda 7" xfId="30" xr:uid="{00000000-0005-0000-0000-000011000000}"/>
    <cellStyle name="Moeda 8" xfId="33" xr:uid="{00000000-0005-0000-0000-000012000000}"/>
    <cellStyle name="Normal" xfId="0" builtinId="0"/>
    <cellStyle name="Normal 2" xfId="2" xr:uid="{00000000-0005-0000-0000-000014000000}"/>
    <cellStyle name="Normal 2 2" xfId="20" xr:uid="{00000000-0005-0000-0000-000015000000}"/>
    <cellStyle name="Normal 2 2 3" xfId="37" xr:uid="{00000000-0005-0000-0000-000016000000}"/>
    <cellStyle name="Normal 2 3" xfId="17" xr:uid="{00000000-0005-0000-0000-000017000000}"/>
    <cellStyle name="Normal 3" xfId="5" xr:uid="{00000000-0005-0000-0000-000018000000}"/>
    <cellStyle name="Normal 3 2" xfId="13" xr:uid="{00000000-0005-0000-0000-000019000000}"/>
    <cellStyle name="Normal 3 3" xfId="43" xr:uid="{00000000-0005-0000-0000-00001A000000}"/>
    <cellStyle name="Normal 4" xfId="11" xr:uid="{00000000-0005-0000-0000-00001B000000}"/>
    <cellStyle name="Normal 4 2" xfId="40" xr:uid="{00000000-0005-0000-0000-00001C000000}"/>
    <cellStyle name="Normal 5" xfId="23" xr:uid="{00000000-0005-0000-0000-00001D000000}"/>
    <cellStyle name="Normal 6" xfId="26" xr:uid="{00000000-0005-0000-0000-00001E000000}"/>
    <cellStyle name="Normal 7" xfId="31" xr:uid="{00000000-0005-0000-0000-00001F000000}"/>
    <cellStyle name="Normal 8" xfId="41" xr:uid="{00000000-0005-0000-0000-000020000000}"/>
    <cellStyle name="Normal 9" xfId="47" xr:uid="{00000000-0005-0000-0000-000021000000}"/>
    <cellStyle name="Normal_Banco_dados Produtividade" xfId="18" xr:uid="{00000000-0005-0000-0000-000022000000}"/>
    <cellStyle name="Normal_Boletim de Medição 2009 rev1" xfId="6" xr:uid="{00000000-0005-0000-0000-000023000000}"/>
    <cellStyle name="Normal_TABELA DE PID" xfId="3" xr:uid="{00000000-0005-0000-0000-000024000000}"/>
    <cellStyle name="Porcentagem" xfId="16" builtinId="5"/>
    <cellStyle name="Porcentagem 2" xfId="29" xr:uid="{00000000-0005-0000-0000-000026000000}"/>
    <cellStyle name="Porcentagem 2 2" xfId="39" xr:uid="{00000000-0005-0000-0000-000027000000}"/>
    <cellStyle name="Porcentagem 2 3" xfId="21" xr:uid="{00000000-0005-0000-0000-000028000000}"/>
    <cellStyle name="Porcentagem 3" xfId="14" xr:uid="{00000000-0005-0000-0000-000029000000}"/>
    <cellStyle name="Porcentagem 4" xfId="35" xr:uid="{00000000-0005-0000-0000-00002A000000}"/>
    <cellStyle name="Porcentagem 5" xfId="42" xr:uid="{00000000-0005-0000-0000-00002B000000}"/>
    <cellStyle name="Vírgula" xfId="4" builtinId="3"/>
    <cellStyle name="Vírgula 2" xfId="8" xr:uid="{00000000-0005-0000-0000-00002C000000}"/>
    <cellStyle name="Vírgula 2 2" xfId="9" xr:uid="{00000000-0005-0000-0000-00002D000000}"/>
    <cellStyle name="Vírgula 3" xfId="24" xr:uid="{00000000-0005-0000-0000-00002E000000}"/>
    <cellStyle name="Vírgula 4" xfId="27" xr:uid="{00000000-0005-0000-0000-00002F000000}"/>
    <cellStyle name="Vírgula 5" xfId="32" xr:uid="{00000000-0005-0000-0000-000030000000}"/>
  </cellStyles>
  <dxfs count="60">
    <dxf>
      <fill>
        <patternFill>
          <bgColor theme="4" tint="0.39994506668294322"/>
        </patternFill>
      </fill>
    </dxf>
    <dxf>
      <fill>
        <patternFill>
          <bgColor theme="4" tint="0.39994506668294322"/>
        </patternFill>
      </fill>
    </dxf>
    <dxf>
      <font>
        <condense val="0"/>
        <extend val="0"/>
        <color auto="1"/>
      </font>
      <fill>
        <patternFill>
          <bgColor rgb="FFC0C0C0"/>
        </patternFill>
      </fill>
    </dxf>
    <dxf>
      <font>
        <condense val="0"/>
        <extend val="0"/>
        <color auto="1"/>
      </font>
      <fill>
        <patternFill>
          <bgColor theme="0" tint="-0.34998626667073579"/>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condense val="0"/>
        <extend val="0"/>
        <color auto="1"/>
      </font>
      <fill>
        <patternFill>
          <bgColor rgb="FFC0C0C0"/>
        </patternFill>
      </fill>
    </dxf>
    <dxf>
      <font>
        <condense val="0"/>
        <extend val="0"/>
        <color auto="1"/>
      </font>
      <fill>
        <patternFill>
          <bgColor theme="0" tint="-0.34998626667073579"/>
        </patternFill>
      </fill>
    </dxf>
    <dxf>
      <fill>
        <patternFill>
          <bgColor theme="4" tint="0.39994506668294322"/>
        </patternFill>
      </fill>
    </dxf>
    <dxf>
      <font>
        <b/>
        <i val="0"/>
        <color rgb="FF002060"/>
      </font>
      <fill>
        <patternFill>
          <bgColor rgb="FF92D050"/>
        </patternFill>
      </fill>
    </dxf>
    <dxf>
      <font>
        <b/>
        <i val="0"/>
      </font>
      <fill>
        <patternFill>
          <bgColor rgb="FFFFC000"/>
        </patternFill>
      </fill>
    </dxf>
    <dxf>
      <numFmt numFmtId="168" formatCode="0.000"/>
    </dxf>
    <dxf>
      <numFmt numFmtId="168" formatCode="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externalLink" Target="externalLinks/externalLink20.xml"/><Relationship Id="rId47" Type="http://schemas.openxmlformats.org/officeDocument/2006/relationships/externalLink" Target="externalLinks/externalLink25.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46" Type="http://schemas.openxmlformats.org/officeDocument/2006/relationships/externalLink" Target="externalLinks/externalLink2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41"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externalLink" Target="externalLinks/externalLink18.xml"/><Relationship Id="rId45" Type="http://schemas.openxmlformats.org/officeDocument/2006/relationships/externalLink" Target="externalLinks/externalLink2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4" Type="http://schemas.openxmlformats.org/officeDocument/2006/relationships/externalLink" Target="externalLinks/externalLink22.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externalLink" Target="externalLinks/externalLink21.xml"/><Relationship Id="rId48" Type="http://schemas.openxmlformats.org/officeDocument/2006/relationships/externalLink" Target="externalLinks/externalLink26.xml"/><Relationship Id="rId8" Type="http://schemas.openxmlformats.org/officeDocument/2006/relationships/worksheet" Target="worksheets/sheet8.xml"/><Relationship Id="rId51"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099447513812154E-2"/>
          <c:y val="5.3003533568904596E-2"/>
          <c:w val="0.95948434622467771"/>
          <c:h val="0.66387876427107384"/>
        </c:manualLayout>
      </c:layout>
      <c:barChart>
        <c:barDir val="col"/>
        <c:grouping val="clustered"/>
        <c:varyColors val="0"/>
        <c:ser>
          <c:idx val="1"/>
          <c:order val="1"/>
          <c:tx>
            <c:strRef>
              <c:f>'Cálc economia (25%)'!$AB$8</c:f>
              <c:strCache>
                <c:ptCount val="1"/>
                <c:pt idx="0">
                  <c:v>MÊS</c:v>
                </c:pt>
              </c:strCache>
            </c:strRef>
          </c:tx>
          <c:spPr>
            <a:solidFill>
              <a:schemeClr val="accent2"/>
            </a:solidFill>
            <a:ln>
              <a:noFill/>
            </a:ln>
            <a:effectLst/>
          </c:spPr>
          <c:invertIfNegative val="0"/>
          <c:cat>
            <c:strRef>
              <c:f>'Cálc economia (25%)'!$AC$8:$AH$8</c:f>
              <c:strCache>
                <c:ptCount val="6"/>
                <c:pt idx="0">
                  <c:v>MÊS 01</c:v>
                </c:pt>
                <c:pt idx="1">
                  <c:v>MÊS 02</c:v>
                </c:pt>
                <c:pt idx="2">
                  <c:v>MÊS 03</c:v>
                </c:pt>
                <c:pt idx="3">
                  <c:v>MÊS 04</c:v>
                </c:pt>
                <c:pt idx="4">
                  <c:v>MÊS 05</c:v>
                </c:pt>
                <c:pt idx="5">
                  <c:v>MÊS 06</c:v>
                </c:pt>
              </c:strCache>
            </c:strRef>
          </c:cat>
          <c:val>
            <c:numRef>
              <c:f>'Cálc economia (25%)'!$AC$8:$AH$8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4B9-40BA-8FBA-9EC86D176F70}"/>
            </c:ext>
          </c:extLst>
        </c:ser>
        <c:ser>
          <c:idx val="2"/>
          <c:order val="2"/>
          <c:tx>
            <c:strRef>
              <c:f>'Cálc economia (25%)'!$AB$10</c:f>
              <c:strCache>
                <c:ptCount val="1"/>
                <c:pt idx="0">
                  <c:v>Prev.</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'Cálc economia (25%)'!$AC$8:$AH$8</c:f>
              <c:strCache>
                <c:ptCount val="6"/>
                <c:pt idx="0">
                  <c:v>MÊS 01</c:v>
                </c:pt>
                <c:pt idx="1">
                  <c:v>MÊS 02</c:v>
                </c:pt>
                <c:pt idx="2">
                  <c:v>MÊS 03</c:v>
                </c:pt>
                <c:pt idx="3">
                  <c:v>MÊS 04</c:v>
                </c:pt>
                <c:pt idx="4">
                  <c:v>MÊS 05</c:v>
                </c:pt>
                <c:pt idx="5">
                  <c:v>MÊS 06</c:v>
                </c:pt>
              </c:strCache>
            </c:strRef>
          </c:cat>
          <c:val>
            <c:numRef>
              <c:f>'Cálc economia (25%)'!$AC$10:$AH$10</c:f>
              <c:numCache>
                <c:formatCode>0.00</c:formatCode>
                <c:ptCount val="6"/>
                <c:pt idx="0">
                  <c:v>112.90284456000001</c:v>
                </c:pt>
                <c:pt idx="1">
                  <c:v>169.35426683999998</c:v>
                </c:pt>
                <c:pt idx="2">
                  <c:v>225.80568912000001</c:v>
                </c:pt>
                <c:pt idx="3">
                  <c:v>225.80568912000001</c:v>
                </c:pt>
                <c:pt idx="4">
                  <c:v>169.35426683999998</c:v>
                </c:pt>
                <c:pt idx="5">
                  <c:v>141.12855569999999</c:v>
                </c:pt>
              </c:numCache>
            </c:numRef>
          </c:val>
          <c:extLst>
            <c:ext xmlns:c16="http://schemas.microsoft.com/office/drawing/2014/chart" uri="{C3380CC4-5D6E-409C-BE32-E72D297353CC}">
              <c16:uniqueId val="{00000001-44B9-40BA-8FBA-9EC86D176F70}"/>
            </c:ext>
          </c:extLst>
        </c:ser>
        <c:dLbls>
          <c:showLegendKey val="0"/>
          <c:showVal val="0"/>
          <c:showCatName val="0"/>
          <c:showSerName val="0"/>
          <c:showPercent val="0"/>
          <c:showBubbleSize val="0"/>
        </c:dLbls>
        <c:gapWidth val="219"/>
        <c:axId val="638151088"/>
        <c:axId val="638146168"/>
      </c:barChart>
      <c:lineChart>
        <c:grouping val="standard"/>
        <c:varyColors val="0"/>
        <c:ser>
          <c:idx val="0"/>
          <c:order val="0"/>
          <c:tx>
            <c:strRef>
              <c:f>'Cálc economia (25%)'!$AB$11</c:f>
              <c:strCache>
                <c:ptCount val="1"/>
                <c:pt idx="0">
                  <c:v>Prev. Acum</c:v>
                </c:pt>
              </c:strCache>
            </c:strRef>
          </c:tx>
          <c:spPr>
            <a:ln w="25400" cap="rnd">
              <a:solidFill>
                <a:schemeClr val="accent1"/>
              </a:solidFill>
              <a:round/>
            </a:ln>
            <a:effectLst/>
          </c:spPr>
          <c:marker>
            <c:symbol val="circle"/>
            <c:size val="4"/>
            <c:spPr>
              <a:solidFill>
                <a:srgbClr val="0070C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002060"/>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'Cálc economia (25%)'!$AC$11:$AH$11</c:f>
              <c:numCache>
                <c:formatCode>0.00</c:formatCode>
                <c:ptCount val="6"/>
                <c:pt idx="0">
                  <c:v>112.90284456000001</c:v>
                </c:pt>
                <c:pt idx="1">
                  <c:v>282.25711139999999</c:v>
                </c:pt>
                <c:pt idx="2">
                  <c:v>508.06280052</c:v>
                </c:pt>
                <c:pt idx="3">
                  <c:v>733.86848964000001</c:v>
                </c:pt>
                <c:pt idx="4">
                  <c:v>903.22275648000004</c:v>
                </c:pt>
                <c:pt idx="5">
                  <c:v>1044.3513121800001</c:v>
                </c:pt>
              </c:numCache>
            </c:numRef>
          </c:val>
          <c:smooth val="1"/>
          <c:extLst>
            <c:ext xmlns:c16="http://schemas.microsoft.com/office/drawing/2014/chart" uri="{C3380CC4-5D6E-409C-BE32-E72D297353CC}">
              <c16:uniqueId val="{00000002-44B9-40BA-8FBA-9EC86D176F70}"/>
            </c:ext>
          </c:extLst>
        </c:ser>
        <c:dLbls>
          <c:showLegendKey val="0"/>
          <c:showVal val="0"/>
          <c:showCatName val="0"/>
          <c:showSerName val="0"/>
          <c:showPercent val="0"/>
          <c:showBubbleSize val="0"/>
        </c:dLbls>
        <c:marker val="1"/>
        <c:smooth val="0"/>
        <c:axId val="638151088"/>
        <c:axId val="638146168"/>
      </c:lineChart>
      <c:catAx>
        <c:axId val="638151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638146168"/>
        <c:crosses val="autoZero"/>
        <c:auto val="1"/>
        <c:lblAlgn val="ctr"/>
        <c:lblOffset val="100"/>
        <c:noMultiLvlLbl val="0"/>
      </c:catAx>
      <c:valAx>
        <c:axId val="638146168"/>
        <c:scaling>
          <c:orientation val="minMax"/>
        </c:scaling>
        <c:delete val="1"/>
        <c:axPos val="l"/>
        <c:numFmt formatCode="General" sourceLinked="1"/>
        <c:majorTickMark val="none"/>
        <c:minorTickMark val="none"/>
        <c:tickLblPos val="nextTo"/>
        <c:crossAx val="638151088"/>
        <c:crosses val="autoZero"/>
        <c:crossBetween val="between"/>
      </c:valAx>
      <c:spPr>
        <a:noFill/>
        <a:ln>
          <a:noFill/>
        </a:ln>
        <a:effectLst/>
      </c:spPr>
    </c:plotArea>
    <c:legend>
      <c:legendPos val="b"/>
      <c:legendEntry>
        <c:idx val="0"/>
        <c:delete val="1"/>
      </c:legendEntry>
      <c:layout>
        <c:manualLayout>
          <c:xMode val="edge"/>
          <c:yMode val="edge"/>
          <c:x val="0.31452880961636398"/>
          <c:y val="0.88973457323769234"/>
          <c:w val="0.41495309641977873"/>
          <c:h val="9.542863151008201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099447513812154E-2"/>
          <c:y val="0.12011749370254894"/>
          <c:w val="0.95948434622467771"/>
          <c:h val="0.59676466616169621"/>
        </c:manualLayout>
      </c:layout>
      <c:barChart>
        <c:barDir val="col"/>
        <c:grouping val="clustered"/>
        <c:varyColors val="0"/>
        <c:ser>
          <c:idx val="1"/>
          <c:order val="1"/>
          <c:tx>
            <c:strRef>
              <c:f>'Cálc economia (cheio)'!$AB$8</c:f>
              <c:strCache>
                <c:ptCount val="1"/>
                <c:pt idx="0">
                  <c:v>MÊS</c:v>
                </c:pt>
              </c:strCache>
            </c:strRef>
          </c:tx>
          <c:spPr>
            <a:solidFill>
              <a:schemeClr val="accent2"/>
            </a:solidFill>
            <a:ln>
              <a:noFill/>
            </a:ln>
            <a:effectLst/>
          </c:spPr>
          <c:invertIfNegative val="0"/>
          <c:cat>
            <c:strRef>
              <c:f>'Cálc economia (cheio)'!$AC$8:$AH$8</c:f>
              <c:strCache>
                <c:ptCount val="6"/>
                <c:pt idx="0">
                  <c:v>MÊS 01</c:v>
                </c:pt>
                <c:pt idx="1">
                  <c:v>MÊS 02</c:v>
                </c:pt>
                <c:pt idx="2">
                  <c:v>MÊS 03</c:v>
                </c:pt>
                <c:pt idx="3">
                  <c:v>MÊS 04</c:v>
                </c:pt>
                <c:pt idx="4">
                  <c:v>MÊS 05</c:v>
                </c:pt>
                <c:pt idx="5">
                  <c:v>MÊS 06</c:v>
                </c:pt>
              </c:strCache>
            </c:strRef>
          </c:cat>
          <c:val>
            <c:numRef>
              <c:f>'Cálc economia (cheio)'!$AC$8:$AH$8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51A-4062-AFCF-3AB48E5A5DBB}"/>
            </c:ext>
          </c:extLst>
        </c:ser>
        <c:ser>
          <c:idx val="2"/>
          <c:order val="2"/>
          <c:tx>
            <c:strRef>
              <c:f>'Cálc economia (cheio)'!$AB$12</c:f>
              <c:strCache>
                <c:ptCount val="1"/>
                <c:pt idx="0">
                  <c:v>Desembolso mês</c:v>
                </c:pt>
              </c:strCache>
            </c:strRef>
          </c:tx>
          <c:spPr>
            <a:solidFill>
              <a:srgbClr val="002060"/>
            </a:solidFill>
            <a:ln>
              <a:noFill/>
            </a:ln>
            <a:effectLst/>
          </c:spPr>
          <c:invertIfNegative val="0"/>
          <c:dLbls>
            <c:dLbl>
              <c:idx val="0"/>
              <c:layout>
                <c:manualLayout>
                  <c:x val="-7.0799846919249912E-2"/>
                  <c:y val="4.94559841740850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51A-4062-AFCF-3AB48E5A5DBB}"/>
                </c:ext>
              </c:extLst>
            </c:dLbl>
            <c:numFmt formatCode="&quot;R$&quot;\ #,##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'Cálc economia (cheio)'!$AC$8:$AH$8</c:f>
              <c:strCache>
                <c:ptCount val="6"/>
                <c:pt idx="0">
                  <c:v>MÊS 01</c:v>
                </c:pt>
                <c:pt idx="1">
                  <c:v>MÊS 02</c:v>
                </c:pt>
                <c:pt idx="2">
                  <c:v>MÊS 03</c:v>
                </c:pt>
                <c:pt idx="3">
                  <c:v>MÊS 04</c:v>
                </c:pt>
                <c:pt idx="4">
                  <c:v>MÊS 05</c:v>
                </c:pt>
                <c:pt idx="5">
                  <c:v>MÊS 06</c:v>
                </c:pt>
              </c:strCache>
            </c:strRef>
          </c:cat>
          <c:val>
            <c:numRef>
              <c:f>'Cálc economia (cheio)'!$AC$12:$AH$12</c:f>
              <c:numCache>
                <c:formatCode>_("R$"* #,##0.00_);_("R$"* \(#,##0.00\);_("R$"*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351A-4062-AFCF-3AB48E5A5DBB}"/>
            </c:ext>
          </c:extLst>
        </c:ser>
        <c:dLbls>
          <c:showLegendKey val="0"/>
          <c:showVal val="0"/>
          <c:showCatName val="0"/>
          <c:showSerName val="0"/>
          <c:showPercent val="0"/>
          <c:showBubbleSize val="0"/>
        </c:dLbls>
        <c:gapWidth val="150"/>
        <c:axId val="638151088"/>
        <c:axId val="638146168"/>
      </c:barChart>
      <c:lineChart>
        <c:grouping val="standard"/>
        <c:varyColors val="0"/>
        <c:ser>
          <c:idx val="0"/>
          <c:order val="0"/>
          <c:tx>
            <c:strRef>
              <c:f>'Cálc economia (cheio)'!$AB$13</c:f>
              <c:strCache>
                <c:ptCount val="1"/>
                <c:pt idx="0">
                  <c:v>Desembolso acum</c:v>
                </c:pt>
              </c:strCache>
            </c:strRef>
          </c:tx>
          <c:spPr>
            <a:ln w="25400" cap="rnd">
              <a:solidFill>
                <a:schemeClr val="accent1"/>
              </a:solidFill>
              <a:round/>
            </a:ln>
            <a:effectLst/>
          </c:spPr>
          <c:marker>
            <c:symbol val="circle"/>
            <c:size val="4"/>
            <c:spPr>
              <a:solidFill>
                <a:srgbClr val="0070C0"/>
              </a:solidFill>
              <a:ln w="9525">
                <a:noFill/>
              </a:ln>
              <a:effectLst/>
            </c:spPr>
          </c:marker>
          <c:dLbls>
            <c:dLbl>
              <c:idx val="5"/>
              <c:layout>
                <c:manualLayout>
                  <c:x val="-5.7860076812432486E-2"/>
                  <c:y val="-2.37976125467538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1A-4062-AFCF-3AB48E5A5DBB}"/>
                </c:ext>
              </c:extLst>
            </c:dLbl>
            <c:numFmt formatCode="&quot;R$&quot;\ #,##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002060"/>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'Cálc economia (cheio)'!$AC$13:$AH$13</c:f>
              <c:numCache>
                <c:formatCode>_("R$"* #,##0.00_);_("R$"* \(#,##0.00\);_("R$"* "-"??_);_(@_)</c:formatCode>
                <c:ptCount val="6"/>
                <c:pt idx="0">
                  <c:v>0</c:v>
                </c:pt>
                <c:pt idx="1">
                  <c:v>0</c:v>
                </c:pt>
                <c:pt idx="2">
                  <c:v>0</c:v>
                </c:pt>
                <c:pt idx="3">
                  <c:v>0</c:v>
                </c:pt>
                <c:pt idx="4">
                  <c:v>0</c:v>
                </c:pt>
                <c:pt idx="5">
                  <c:v>0</c:v>
                </c:pt>
              </c:numCache>
            </c:numRef>
          </c:val>
          <c:smooth val="1"/>
          <c:extLst>
            <c:ext xmlns:c16="http://schemas.microsoft.com/office/drawing/2014/chart" uri="{C3380CC4-5D6E-409C-BE32-E72D297353CC}">
              <c16:uniqueId val="{00000004-351A-4062-AFCF-3AB48E5A5DBB}"/>
            </c:ext>
          </c:extLst>
        </c:ser>
        <c:dLbls>
          <c:showLegendKey val="0"/>
          <c:showVal val="1"/>
          <c:showCatName val="0"/>
          <c:showSerName val="0"/>
          <c:showPercent val="0"/>
          <c:showBubbleSize val="0"/>
        </c:dLbls>
        <c:marker val="1"/>
        <c:smooth val="0"/>
        <c:axId val="638151088"/>
        <c:axId val="638146168"/>
      </c:lineChart>
      <c:catAx>
        <c:axId val="6381510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638146168"/>
        <c:crosses val="autoZero"/>
        <c:auto val="1"/>
        <c:lblAlgn val="ctr"/>
        <c:lblOffset val="100"/>
        <c:noMultiLvlLbl val="0"/>
      </c:catAx>
      <c:valAx>
        <c:axId val="638146168"/>
        <c:scaling>
          <c:orientation val="minMax"/>
        </c:scaling>
        <c:delete val="1"/>
        <c:axPos val="l"/>
        <c:numFmt formatCode="&quot;R$&quot;\ #,##0" sourceLinked="0"/>
        <c:majorTickMark val="out"/>
        <c:minorTickMark val="none"/>
        <c:tickLblPos val="nextTo"/>
        <c:crossAx val="638151088"/>
        <c:crosses val="autoZero"/>
        <c:crossBetween val="between"/>
      </c:valAx>
      <c:spPr>
        <a:noFill/>
        <a:ln>
          <a:noFill/>
        </a:ln>
        <a:effectLst/>
      </c:spPr>
    </c:plotArea>
    <c:legend>
      <c:legendPos val="b"/>
      <c:legendEntry>
        <c:idx val="0"/>
        <c:delete val="1"/>
      </c:legendEntry>
      <c:layout>
        <c:manualLayout>
          <c:xMode val="edge"/>
          <c:yMode val="edge"/>
          <c:x val="0.28251375357741298"/>
          <c:y val="0.84872054583781054"/>
          <c:w val="0.46561694618681138"/>
          <c:h val="7.194507565748911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099447513812154E-2"/>
          <c:y val="0.26925992472417454"/>
          <c:w val="0.95948434622467771"/>
          <c:h val="0.4476222351400706"/>
        </c:manualLayout>
      </c:layout>
      <c:barChart>
        <c:barDir val="col"/>
        <c:grouping val="clustered"/>
        <c:varyColors val="0"/>
        <c:ser>
          <c:idx val="1"/>
          <c:order val="1"/>
          <c:tx>
            <c:strRef>
              <c:f>'Cálc economia (cheio)'!$AB$8</c:f>
              <c:strCache>
                <c:ptCount val="1"/>
                <c:pt idx="0">
                  <c:v>MÊS</c:v>
                </c:pt>
              </c:strCache>
            </c:strRef>
          </c:tx>
          <c:spPr>
            <a:solidFill>
              <a:schemeClr val="accent2"/>
            </a:solidFill>
            <a:ln>
              <a:noFill/>
            </a:ln>
            <a:effectLst/>
          </c:spPr>
          <c:invertIfNegative val="0"/>
          <c:cat>
            <c:strRef>
              <c:f>'Cálc economia (cheio)'!$AC$8:$AH$8</c:f>
              <c:strCache>
                <c:ptCount val="6"/>
                <c:pt idx="0">
                  <c:v>MÊS 01</c:v>
                </c:pt>
                <c:pt idx="1">
                  <c:v>MÊS 02</c:v>
                </c:pt>
                <c:pt idx="2">
                  <c:v>MÊS 03</c:v>
                </c:pt>
                <c:pt idx="3">
                  <c:v>MÊS 04</c:v>
                </c:pt>
                <c:pt idx="4">
                  <c:v>MÊS 05</c:v>
                </c:pt>
                <c:pt idx="5">
                  <c:v>MÊS 06</c:v>
                </c:pt>
              </c:strCache>
            </c:strRef>
          </c:cat>
          <c:val>
            <c:numRef>
              <c:f>'Cálc economia (cheio)'!$AC$8:$AH$8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2D77-405B-9612-300197FDB87D}"/>
            </c:ext>
          </c:extLst>
        </c:ser>
        <c:ser>
          <c:idx val="2"/>
          <c:order val="2"/>
          <c:tx>
            <c:strRef>
              <c:f>'Cálc economia (cheio)'!$AB$12</c:f>
              <c:strCache>
                <c:ptCount val="1"/>
                <c:pt idx="0">
                  <c:v>Desembolso mês</c:v>
                </c:pt>
              </c:strCache>
            </c:strRef>
          </c:tx>
          <c:spPr>
            <a:solidFill>
              <a:srgbClr val="002060"/>
            </a:solidFill>
            <a:ln>
              <a:noFill/>
            </a:ln>
            <a:effectLst/>
          </c:spPr>
          <c:invertIfNegative val="0"/>
          <c:dLbls>
            <c:dLbl>
              <c:idx val="0"/>
              <c:layout>
                <c:manualLayout>
                  <c:x val="-7.0799846919249912E-2"/>
                  <c:y val="4.94559841740850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77-405B-9612-300197FDB87D}"/>
                </c:ext>
              </c:extLst>
            </c:dLbl>
            <c:numFmt formatCode="&quot;R$&quot;\ #,##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'Cálc economia (cheio)'!$AC$8:$AH$8</c:f>
              <c:strCache>
                <c:ptCount val="6"/>
                <c:pt idx="0">
                  <c:v>MÊS 01</c:v>
                </c:pt>
                <c:pt idx="1">
                  <c:v>MÊS 02</c:v>
                </c:pt>
                <c:pt idx="2">
                  <c:v>MÊS 03</c:v>
                </c:pt>
                <c:pt idx="3">
                  <c:v>MÊS 04</c:v>
                </c:pt>
                <c:pt idx="4">
                  <c:v>MÊS 05</c:v>
                </c:pt>
                <c:pt idx="5">
                  <c:v>MÊS 06</c:v>
                </c:pt>
              </c:strCache>
            </c:strRef>
          </c:cat>
          <c:val>
            <c:numRef>
              <c:f>'Cálc economia (cheio)'!$AC$12:$AH$12</c:f>
              <c:numCache>
                <c:formatCode>_("R$"* #,##0.00_);_("R$"* \(#,##0.00\);_("R$"*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2D77-405B-9612-300197FDB87D}"/>
            </c:ext>
          </c:extLst>
        </c:ser>
        <c:ser>
          <c:idx val="3"/>
          <c:order val="3"/>
          <c:tx>
            <c:strRef>
              <c:f>'Cálc economia (cheio)'!$AB$14</c:f>
              <c:strCache>
                <c:ptCount val="1"/>
                <c:pt idx="0">
                  <c:v>Custo sem Isol/mês</c:v>
                </c:pt>
              </c:strCache>
            </c:strRef>
          </c:tx>
          <c:spPr>
            <a:solidFill>
              <a:srgbClr val="C00000"/>
            </a:solidFill>
            <a:ln>
              <a:noFill/>
            </a:ln>
            <a:effectLst/>
          </c:spPr>
          <c:invertIfNegative val="0"/>
          <c:val>
            <c:numRef>
              <c:f>'Cálc economia (cheio)'!$AC$14:$AH$14</c:f>
              <c:numCache>
                <c:formatCode>_("R$"* #,##0.00_);_("R$"* \(#,##0.00\);_("R$"*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2D77-405B-9612-300197FDB87D}"/>
            </c:ext>
          </c:extLst>
        </c:ser>
        <c:dLbls>
          <c:showLegendKey val="0"/>
          <c:showVal val="0"/>
          <c:showCatName val="0"/>
          <c:showSerName val="0"/>
          <c:showPercent val="0"/>
          <c:showBubbleSize val="0"/>
        </c:dLbls>
        <c:gapWidth val="150"/>
        <c:axId val="638151088"/>
        <c:axId val="638146168"/>
      </c:barChart>
      <c:lineChart>
        <c:grouping val="standard"/>
        <c:varyColors val="0"/>
        <c:ser>
          <c:idx val="0"/>
          <c:order val="0"/>
          <c:tx>
            <c:strRef>
              <c:f>'Cálc economia (cheio)'!$AB$13</c:f>
              <c:strCache>
                <c:ptCount val="1"/>
                <c:pt idx="0">
                  <c:v>Desembolso acum</c:v>
                </c:pt>
              </c:strCache>
            </c:strRef>
          </c:tx>
          <c:spPr>
            <a:ln w="25400" cap="rnd">
              <a:solidFill>
                <a:schemeClr val="accent1"/>
              </a:solidFill>
              <a:round/>
            </a:ln>
            <a:effectLst/>
          </c:spPr>
          <c:marker>
            <c:symbol val="circle"/>
            <c:size val="4"/>
            <c:spPr>
              <a:solidFill>
                <a:srgbClr val="0070C0"/>
              </a:solidFill>
              <a:ln w="9525">
                <a:noFill/>
              </a:ln>
              <a:effectLst/>
            </c:spPr>
          </c:marker>
          <c:dLbls>
            <c:dLbl>
              <c:idx val="5"/>
              <c:layout>
                <c:manualLayout>
                  <c:x val="-5.7860076812432486E-2"/>
                  <c:y val="-2.37976125467538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D77-405B-9612-300197FDB87D}"/>
                </c:ext>
              </c:extLst>
            </c:dLbl>
            <c:numFmt formatCode="&quot;R$&quot;\ #,##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002060"/>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'Cálc economia (cheio)'!$AC$13:$AH$13</c:f>
              <c:numCache>
                <c:formatCode>_("R$"* #,##0.00_);_("R$"* \(#,##0.00\);_("R$"* "-"??_);_(@_)</c:formatCode>
                <c:ptCount val="6"/>
                <c:pt idx="0">
                  <c:v>0</c:v>
                </c:pt>
                <c:pt idx="1">
                  <c:v>0</c:v>
                </c:pt>
                <c:pt idx="2">
                  <c:v>0</c:v>
                </c:pt>
                <c:pt idx="3">
                  <c:v>0</c:v>
                </c:pt>
                <c:pt idx="4">
                  <c:v>0</c:v>
                </c:pt>
                <c:pt idx="5">
                  <c:v>0</c:v>
                </c:pt>
              </c:numCache>
            </c:numRef>
          </c:val>
          <c:smooth val="1"/>
          <c:extLst>
            <c:ext xmlns:c16="http://schemas.microsoft.com/office/drawing/2014/chart" uri="{C3380CC4-5D6E-409C-BE32-E72D297353CC}">
              <c16:uniqueId val="{00000005-2D77-405B-9612-300197FDB87D}"/>
            </c:ext>
          </c:extLst>
        </c:ser>
        <c:dLbls>
          <c:showLegendKey val="0"/>
          <c:showVal val="1"/>
          <c:showCatName val="0"/>
          <c:showSerName val="0"/>
          <c:showPercent val="0"/>
          <c:showBubbleSize val="0"/>
        </c:dLbls>
        <c:marker val="1"/>
        <c:smooth val="0"/>
        <c:axId val="638151088"/>
        <c:axId val="638146168"/>
      </c:lineChart>
      <c:catAx>
        <c:axId val="6381510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638146168"/>
        <c:crosses val="autoZero"/>
        <c:auto val="1"/>
        <c:lblAlgn val="ctr"/>
        <c:lblOffset val="100"/>
        <c:noMultiLvlLbl val="0"/>
      </c:catAx>
      <c:valAx>
        <c:axId val="638146168"/>
        <c:scaling>
          <c:orientation val="minMax"/>
        </c:scaling>
        <c:delete val="0"/>
        <c:axPos val="l"/>
        <c:numFmt formatCode="&quot;R$&quot;\ #,##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C00000"/>
                </a:solidFill>
                <a:latin typeface="+mn-lt"/>
                <a:ea typeface="+mn-ea"/>
                <a:cs typeface="+mn-cs"/>
              </a:defRPr>
            </a:pPr>
            <a:endParaRPr lang="pt-BR"/>
          </a:p>
        </c:txPr>
        <c:crossAx val="638151088"/>
        <c:crosses val="autoZero"/>
        <c:crossBetween val="between"/>
      </c:valAx>
      <c:spPr>
        <a:noFill/>
        <a:ln>
          <a:noFill/>
        </a:ln>
        <a:effectLst/>
      </c:spPr>
    </c:plotArea>
    <c:legend>
      <c:legendPos val="b"/>
      <c:legendEntry>
        <c:idx val="0"/>
        <c:delete val="1"/>
      </c:legendEntry>
      <c:layout>
        <c:manualLayout>
          <c:xMode val="edge"/>
          <c:yMode val="edge"/>
          <c:x val="0.18458531666592523"/>
          <c:y val="0.84872054583781054"/>
          <c:w val="0.71683808591722642"/>
          <c:h val="7.194507565748911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orientation="portrait"/>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pt-BR" b="1">
                <a:solidFill>
                  <a:srgbClr val="002060"/>
                </a:solidFill>
              </a:rPr>
              <a:t>LINHA</a:t>
            </a:r>
            <a:r>
              <a:rPr lang="pt-BR" b="1" baseline="0">
                <a:solidFill>
                  <a:srgbClr val="002060"/>
                </a:solidFill>
              </a:rPr>
              <a:t> DE MS  </a:t>
            </a:r>
            <a:endParaRPr lang="pt-BR" b="1">
              <a:solidFill>
                <a:srgbClr val="00206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pt-BR"/>
        </a:p>
      </c:txPr>
    </c:title>
    <c:autoTitleDeleted val="0"/>
    <c:plotArea>
      <c:layout>
        <c:manualLayout>
          <c:layoutTarget val="inner"/>
          <c:xMode val="edge"/>
          <c:yMode val="edge"/>
          <c:x val="2.063983488132095E-2"/>
          <c:y val="9.7116046173839926E-2"/>
          <c:w val="0.96216030271757824"/>
          <c:h val="0.69488762327039222"/>
        </c:manualLayout>
      </c:layout>
      <c:lineChart>
        <c:grouping val="standard"/>
        <c:varyColors val="0"/>
        <c:ser>
          <c:idx val="1"/>
          <c:order val="0"/>
          <c:tx>
            <c:strRef>
              <c:f>'Cálc economia (25%)'!$D$24</c:f>
              <c:strCache>
                <c:ptCount val="1"/>
                <c:pt idx="0">
                  <c:v>PERDA (Kcal/h*m²) - sem isol</c:v>
                </c:pt>
              </c:strCache>
            </c:strRef>
          </c:tx>
          <c:spPr>
            <a:ln w="19050" cap="rnd">
              <a:solidFill>
                <a:srgbClr val="FF0000"/>
              </a:solidFill>
              <a:round/>
            </a:ln>
            <a:effectLst/>
          </c:spPr>
          <c:marker>
            <c:symbol val="circle"/>
            <c:size val="4"/>
            <c:spPr>
              <a:solidFill>
                <a:srgbClr val="FF0000"/>
              </a:solidFill>
              <a:ln w="9525">
                <a:noFill/>
              </a:ln>
              <a:effectLst/>
            </c:spPr>
          </c:marker>
          <c:dLbls>
            <c:dLbl>
              <c:idx val="1"/>
              <c:layout>
                <c:manualLayout>
                  <c:x val="1.4681348014681348E-3"/>
                  <c:y val="-4.16320355788859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ECA-460A-8B25-AB643CC61080}"/>
                </c:ext>
              </c:extLst>
            </c:dLbl>
            <c:dLbl>
              <c:idx val="4"/>
              <c:layout>
                <c:manualLayout>
                  <c:x val="-3.6987462463501375E-2"/>
                  <c:y val="-7.27852738067935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ECA-460A-8B25-AB643CC61080}"/>
                </c:ext>
              </c:extLst>
            </c:dLbl>
            <c:dLbl>
              <c:idx val="6"/>
              <c:layout>
                <c:manualLayout>
                  <c:x val="-3.1539307806207985E-2"/>
                  <c:y val="-0.1253742705705476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ECA-460A-8B25-AB643CC6108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'Cálc economia (25%)'!$B$25:$B$32</c:f>
              <c:strCache>
                <c:ptCount val="8"/>
                <c:pt idx="0">
                  <c:v>3"</c:v>
                </c:pt>
                <c:pt idx="1">
                  <c:v>6"</c:v>
                </c:pt>
                <c:pt idx="2">
                  <c:v>10"</c:v>
                </c:pt>
                <c:pt idx="3">
                  <c:v>12"</c:v>
                </c:pt>
                <c:pt idx="4">
                  <c:v>14"</c:v>
                </c:pt>
                <c:pt idx="5">
                  <c:v>16"</c:v>
                </c:pt>
                <c:pt idx="6">
                  <c:v>18"</c:v>
                </c:pt>
                <c:pt idx="7">
                  <c:v>20"</c:v>
                </c:pt>
              </c:strCache>
            </c:strRef>
          </c:cat>
          <c:val>
            <c:numRef>
              <c:f>'Cálc economia (25%)'!$D$25:$D$32</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3-5ECA-460A-8B25-AB643CC61080}"/>
            </c:ext>
          </c:extLst>
        </c:ser>
        <c:ser>
          <c:idx val="2"/>
          <c:order val="1"/>
          <c:tx>
            <c:strRef>
              <c:f>'Cálc economia (25%)'!$P$24</c:f>
              <c:strCache>
                <c:ptCount val="1"/>
                <c:pt idx="0">
                  <c:v>PERDA (Kcal/h*m²) - com isol</c:v>
                </c:pt>
              </c:strCache>
            </c:strRef>
          </c:tx>
          <c:spPr>
            <a:ln w="19050" cap="rnd">
              <a:solidFill>
                <a:srgbClr val="002060"/>
              </a:solidFill>
              <a:round/>
            </a:ln>
            <a:effectLst/>
          </c:spPr>
          <c:marker>
            <c:symbol val="circle"/>
            <c:size val="4"/>
            <c:spPr>
              <a:solidFill>
                <a:srgbClr val="002060"/>
              </a:solidFill>
              <a:ln w="9525">
                <a:noFill/>
              </a:ln>
              <a:effectLst/>
            </c:spPr>
          </c:marker>
          <c:dLbls>
            <c:dLbl>
              <c:idx val="1"/>
              <c:layout>
                <c:manualLayout>
                  <c:x val="-2.6735558538486758E-2"/>
                  <c:y val="-3.2332199373136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ECA-460A-8B25-AB643CC6108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'Cálc economia (25%)'!$B$25:$B$32</c:f>
              <c:strCache>
                <c:ptCount val="8"/>
                <c:pt idx="0">
                  <c:v>3"</c:v>
                </c:pt>
                <c:pt idx="1">
                  <c:v>6"</c:v>
                </c:pt>
                <c:pt idx="2">
                  <c:v>10"</c:v>
                </c:pt>
                <c:pt idx="3">
                  <c:v>12"</c:v>
                </c:pt>
                <c:pt idx="4">
                  <c:v>14"</c:v>
                </c:pt>
                <c:pt idx="5">
                  <c:v>16"</c:v>
                </c:pt>
                <c:pt idx="6">
                  <c:v>18"</c:v>
                </c:pt>
                <c:pt idx="7">
                  <c:v>20"</c:v>
                </c:pt>
              </c:strCache>
            </c:strRef>
          </c:cat>
          <c:val>
            <c:numRef>
              <c:f>'Cálc economia (25%)'!$P$25:$P$32</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5-5ECA-460A-8B25-AB643CC61080}"/>
            </c:ext>
          </c:extLst>
        </c:ser>
        <c:dLbls>
          <c:showLegendKey val="0"/>
          <c:showVal val="0"/>
          <c:showCatName val="0"/>
          <c:showSerName val="0"/>
          <c:showPercent val="0"/>
          <c:showBubbleSize val="0"/>
        </c:dLbls>
        <c:marker val="1"/>
        <c:smooth val="0"/>
        <c:axId val="511178400"/>
        <c:axId val="511180368"/>
      </c:lineChart>
      <c:catAx>
        <c:axId val="511178400"/>
        <c:scaling>
          <c:orientation val="minMax"/>
        </c:scaling>
        <c:delete val="0"/>
        <c:axPos val="b"/>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rgbClr val="002060"/>
                </a:solidFill>
                <a:latin typeface="+mn-lt"/>
                <a:ea typeface="+mn-ea"/>
                <a:cs typeface="+mn-cs"/>
              </a:defRPr>
            </a:pPr>
            <a:endParaRPr lang="pt-BR"/>
          </a:p>
        </c:txPr>
        <c:crossAx val="511180368"/>
        <c:crosses val="autoZero"/>
        <c:auto val="0"/>
        <c:lblAlgn val="ctr"/>
        <c:lblOffset val="0"/>
        <c:tickMarkSkip val="1"/>
        <c:noMultiLvlLbl val="0"/>
      </c:catAx>
      <c:valAx>
        <c:axId val="511180368"/>
        <c:scaling>
          <c:orientation val="minMax"/>
        </c:scaling>
        <c:delete val="1"/>
        <c:axPos val="l"/>
        <c:numFmt formatCode="0" sourceLinked="1"/>
        <c:majorTickMark val="out"/>
        <c:minorTickMark val="none"/>
        <c:tickLblPos val="nextTo"/>
        <c:crossAx val="511178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pt-BR" b="1">
                <a:solidFill>
                  <a:srgbClr val="002060"/>
                </a:solidFill>
              </a:rPr>
              <a:t>LINHA</a:t>
            </a:r>
            <a:r>
              <a:rPr lang="pt-BR" b="1" baseline="0">
                <a:solidFill>
                  <a:srgbClr val="002060"/>
                </a:solidFill>
              </a:rPr>
              <a:t> DE SS  </a:t>
            </a:r>
            <a:endParaRPr lang="pt-BR" b="1">
              <a:solidFill>
                <a:srgbClr val="00206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pt-BR"/>
        </a:p>
      </c:txPr>
    </c:title>
    <c:autoTitleDeleted val="0"/>
    <c:plotArea>
      <c:layout>
        <c:manualLayout>
          <c:layoutTarget val="inner"/>
          <c:xMode val="edge"/>
          <c:yMode val="edge"/>
          <c:x val="2.063983488132095E-2"/>
          <c:y val="9.7116046173839926E-2"/>
          <c:w val="0.96216030271757824"/>
          <c:h val="0.69488762327039222"/>
        </c:manualLayout>
      </c:layout>
      <c:lineChart>
        <c:grouping val="standard"/>
        <c:varyColors val="0"/>
        <c:ser>
          <c:idx val="1"/>
          <c:order val="0"/>
          <c:tx>
            <c:strRef>
              <c:f>'Cálc economia (25%)'!$D$35</c:f>
              <c:strCache>
                <c:ptCount val="1"/>
                <c:pt idx="0">
                  <c:v>PERDA (Kcal/h*m²) - sem isol</c:v>
                </c:pt>
              </c:strCache>
            </c:strRef>
          </c:tx>
          <c:spPr>
            <a:ln w="19050" cap="rnd">
              <a:solidFill>
                <a:srgbClr val="FF0000"/>
              </a:solidFill>
              <a:round/>
            </a:ln>
            <a:effectLst/>
          </c:spPr>
          <c:marker>
            <c:symbol val="circle"/>
            <c:size val="4"/>
            <c:spPr>
              <a:solidFill>
                <a:srgbClr val="FF0000"/>
              </a:solidFill>
              <a:ln w="9525">
                <a:noFill/>
              </a:ln>
              <a:effectLst/>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'Cálc economia (25%)'!$B$36:$B$40</c:f>
              <c:strCache>
                <c:ptCount val="5"/>
                <c:pt idx="0">
                  <c:v>6"</c:v>
                </c:pt>
                <c:pt idx="1">
                  <c:v>8"</c:v>
                </c:pt>
                <c:pt idx="2">
                  <c:v>10"</c:v>
                </c:pt>
                <c:pt idx="3">
                  <c:v>12"</c:v>
                </c:pt>
                <c:pt idx="4">
                  <c:v>18"</c:v>
                </c:pt>
              </c:strCache>
            </c:strRef>
          </c:cat>
          <c:val>
            <c:numRef>
              <c:f>'Cálc economia (25%)'!$D$36:$D$40</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48B5-43B5-BB44-66F95FF66516}"/>
            </c:ext>
          </c:extLst>
        </c:ser>
        <c:ser>
          <c:idx val="2"/>
          <c:order val="1"/>
          <c:tx>
            <c:strRef>
              <c:f>'Cálc economia (25%)'!$P$35</c:f>
              <c:strCache>
                <c:ptCount val="1"/>
                <c:pt idx="0">
                  <c:v>PERDA (Kcal/h*m²) - com isol</c:v>
                </c:pt>
              </c:strCache>
            </c:strRef>
          </c:tx>
          <c:spPr>
            <a:ln w="19050" cap="rnd">
              <a:solidFill>
                <a:srgbClr val="002060"/>
              </a:solidFill>
              <a:round/>
            </a:ln>
            <a:effectLst/>
          </c:spPr>
          <c:marker>
            <c:symbol val="circle"/>
            <c:size val="4"/>
            <c:spPr>
              <a:solidFill>
                <a:srgbClr val="00206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'Cálc economia (25%)'!$B$36:$B$40</c:f>
              <c:strCache>
                <c:ptCount val="5"/>
                <c:pt idx="0">
                  <c:v>6"</c:v>
                </c:pt>
                <c:pt idx="1">
                  <c:v>8"</c:v>
                </c:pt>
                <c:pt idx="2">
                  <c:v>10"</c:v>
                </c:pt>
                <c:pt idx="3">
                  <c:v>12"</c:v>
                </c:pt>
                <c:pt idx="4">
                  <c:v>18"</c:v>
                </c:pt>
              </c:strCache>
            </c:strRef>
          </c:cat>
          <c:val>
            <c:numRef>
              <c:f>'Cálc economia (25%)'!$P$36:$P$40</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8B5-43B5-BB44-66F95FF66516}"/>
            </c:ext>
          </c:extLst>
        </c:ser>
        <c:dLbls>
          <c:showLegendKey val="0"/>
          <c:showVal val="0"/>
          <c:showCatName val="0"/>
          <c:showSerName val="0"/>
          <c:showPercent val="0"/>
          <c:showBubbleSize val="0"/>
        </c:dLbls>
        <c:marker val="1"/>
        <c:smooth val="0"/>
        <c:axId val="511178400"/>
        <c:axId val="511180368"/>
      </c:lineChart>
      <c:catAx>
        <c:axId val="511178400"/>
        <c:scaling>
          <c:orientation val="minMax"/>
        </c:scaling>
        <c:delete val="0"/>
        <c:axPos val="b"/>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rgbClr val="002060"/>
                </a:solidFill>
                <a:latin typeface="+mn-lt"/>
                <a:ea typeface="+mn-ea"/>
                <a:cs typeface="+mn-cs"/>
              </a:defRPr>
            </a:pPr>
            <a:endParaRPr lang="pt-BR"/>
          </a:p>
        </c:txPr>
        <c:crossAx val="511180368"/>
        <c:crosses val="autoZero"/>
        <c:auto val="0"/>
        <c:lblAlgn val="ctr"/>
        <c:lblOffset val="0"/>
        <c:tickMarkSkip val="1"/>
        <c:noMultiLvlLbl val="0"/>
      </c:catAx>
      <c:valAx>
        <c:axId val="511180368"/>
        <c:scaling>
          <c:orientation val="minMax"/>
        </c:scaling>
        <c:delete val="1"/>
        <c:axPos val="l"/>
        <c:numFmt formatCode="0" sourceLinked="1"/>
        <c:majorTickMark val="out"/>
        <c:minorTickMark val="none"/>
        <c:tickLblPos val="nextTo"/>
        <c:crossAx val="511178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099447513812154E-2"/>
          <c:y val="5.3003533568904596E-2"/>
          <c:w val="0.95948434622467771"/>
          <c:h val="0.66387876427107384"/>
        </c:manualLayout>
      </c:layout>
      <c:barChart>
        <c:barDir val="col"/>
        <c:grouping val="clustered"/>
        <c:varyColors val="0"/>
        <c:ser>
          <c:idx val="1"/>
          <c:order val="1"/>
          <c:tx>
            <c:strRef>
              <c:f>'Cálc economia (25%)'!$AB$8</c:f>
              <c:strCache>
                <c:ptCount val="1"/>
                <c:pt idx="0">
                  <c:v>MÊS</c:v>
                </c:pt>
              </c:strCache>
            </c:strRef>
          </c:tx>
          <c:spPr>
            <a:solidFill>
              <a:schemeClr val="accent2"/>
            </a:solidFill>
            <a:ln>
              <a:noFill/>
            </a:ln>
            <a:effectLst/>
          </c:spPr>
          <c:invertIfNegative val="0"/>
          <c:cat>
            <c:strRef>
              <c:f>'Cálc economia (25%)'!$AC$8:$AH$8</c:f>
              <c:strCache>
                <c:ptCount val="6"/>
                <c:pt idx="0">
                  <c:v>MÊS 01</c:v>
                </c:pt>
                <c:pt idx="1">
                  <c:v>MÊS 02</c:v>
                </c:pt>
                <c:pt idx="2">
                  <c:v>MÊS 03</c:v>
                </c:pt>
                <c:pt idx="3">
                  <c:v>MÊS 04</c:v>
                </c:pt>
                <c:pt idx="4">
                  <c:v>MÊS 05</c:v>
                </c:pt>
                <c:pt idx="5">
                  <c:v>MÊS 06</c:v>
                </c:pt>
              </c:strCache>
            </c:strRef>
          </c:cat>
          <c:val>
            <c:numRef>
              <c:f>'Cálc economia (25%)'!$AC$8:$AH$8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1687-4265-97F7-C079489A4706}"/>
            </c:ext>
          </c:extLst>
        </c:ser>
        <c:ser>
          <c:idx val="2"/>
          <c:order val="2"/>
          <c:tx>
            <c:strRef>
              <c:f>'Cálc economia (25%)'!$AB$10</c:f>
              <c:strCache>
                <c:ptCount val="1"/>
                <c:pt idx="0">
                  <c:v>Prev.</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C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'Cálc economia (25%)'!$AC$8:$AH$8</c:f>
              <c:strCache>
                <c:ptCount val="6"/>
                <c:pt idx="0">
                  <c:v>MÊS 01</c:v>
                </c:pt>
                <c:pt idx="1">
                  <c:v>MÊS 02</c:v>
                </c:pt>
                <c:pt idx="2">
                  <c:v>MÊS 03</c:v>
                </c:pt>
                <c:pt idx="3">
                  <c:v>MÊS 04</c:v>
                </c:pt>
                <c:pt idx="4">
                  <c:v>MÊS 05</c:v>
                </c:pt>
                <c:pt idx="5">
                  <c:v>MÊS 06</c:v>
                </c:pt>
              </c:strCache>
            </c:strRef>
          </c:cat>
          <c:val>
            <c:numRef>
              <c:f>'Cálc economia (25%)'!$AC$10:$AH$10</c:f>
              <c:numCache>
                <c:formatCode>0.00</c:formatCode>
                <c:ptCount val="6"/>
                <c:pt idx="0">
                  <c:v>112.90284456000001</c:v>
                </c:pt>
                <c:pt idx="1">
                  <c:v>169.35426683999998</c:v>
                </c:pt>
                <c:pt idx="2">
                  <c:v>225.80568912000001</c:v>
                </c:pt>
                <c:pt idx="3">
                  <c:v>225.80568912000001</c:v>
                </c:pt>
                <c:pt idx="4">
                  <c:v>169.35426683999998</c:v>
                </c:pt>
                <c:pt idx="5">
                  <c:v>141.12855569999999</c:v>
                </c:pt>
              </c:numCache>
            </c:numRef>
          </c:val>
          <c:extLst>
            <c:ext xmlns:c16="http://schemas.microsoft.com/office/drawing/2014/chart" uri="{C3380CC4-5D6E-409C-BE32-E72D297353CC}">
              <c16:uniqueId val="{00000001-1687-4265-97F7-C079489A4706}"/>
            </c:ext>
          </c:extLst>
        </c:ser>
        <c:dLbls>
          <c:showLegendKey val="0"/>
          <c:showVal val="0"/>
          <c:showCatName val="0"/>
          <c:showSerName val="0"/>
          <c:showPercent val="0"/>
          <c:showBubbleSize val="0"/>
        </c:dLbls>
        <c:gapWidth val="219"/>
        <c:axId val="638151088"/>
        <c:axId val="638146168"/>
      </c:barChart>
      <c:lineChart>
        <c:grouping val="standard"/>
        <c:varyColors val="0"/>
        <c:ser>
          <c:idx val="0"/>
          <c:order val="0"/>
          <c:tx>
            <c:strRef>
              <c:f>'Cálc economia (25%)'!$AB$11</c:f>
              <c:strCache>
                <c:ptCount val="1"/>
                <c:pt idx="0">
                  <c:v>Prev. Acum</c:v>
                </c:pt>
              </c:strCache>
            </c:strRef>
          </c:tx>
          <c:spPr>
            <a:ln w="25400" cap="rnd">
              <a:solidFill>
                <a:schemeClr val="accent1"/>
              </a:solidFill>
              <a:round/>
            </a:ln>
            <a:effectLst/>
          </c:spPr>
          <c:marker>
            <c:symbol val="circle"/>
            <c:size val="4"/>
            <c:spPr>
              <a:solidFill>
                <a:srgbClr val="0070C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'Cálc economia (25%)'!$AC$11:$AH$11</c:f>
              <c:numCache>
                <c:formatCode>0.00</c:formatCode>
                <c:ptCount val="6"/>
                <c:pt idx="0">
                  <c:v>112.90284456000001</c:v>
                </c:pt>
                <c:pt idx="1">
                  <c:v>282.25711139999999</c:v>
                </c:pt>
                <c:pt idx="2">
                  <c:v>508.06280052</c:v>
                </c:pt>
                <c:pt idx="3">
                  <c:v>733.86848964000001</c:v>
                </c:pt>
                <c:pt idx="4">
                  <c:v>903.22275648000004</c:v>
                </c:pt>
                <c:pt idx="5">
                  <c:v>1044.3513121800001</c:v>
                </c:pt>
              </c:numCache>
            </c:numRef>
          </c:val>
          <c:smooth val="1"/>
          <c:extLst>
            <c:ext xmlns:c16="http://schemas.microsoft.com/office/drawing/2014/chart" uri="{C3380CC4-5D6E-409C-BE32-E72D297353CC}">
              <c16:uniqueId val="{00000002-1687-4265-97F7-C079489A4706}"/>
            </c:ext>
          </c:extLst>
        </c:ser>
        <c:dLbls>
          <c:showLegendKey val="0"/>
          <c:showVal val="0"/>
          <c:showCatName val="0"/>
          <c:showSerName val="0"/>
          <c:showPercent val="0"/>
          <c:showBubbleSize val="0"/>
        </c:dLbls>
        <c:marker val="1"/>
        <c:smooth val="0"/>
        <c:axId val="638151088"/>
        <c:axId val="638146168"/>
      </c:lineChart>
      <c:catAx>
        <c:axId val="638151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638146168"/>
        <c:crosses val="autoZero"/>
        <c:auto val="1"/>
        <c:lblAlgn val="ctr"/>
        <c:lblOffset val="100"/>
        <c:noMultiLvlLbl val="0"/>
      </c:catAx>
      <c:valAx>
        <c:axId val="638146168"/>
        <c:scaling>
          <c:orientation val="minMax"/>
        </c:scaling>
        <c:delete val="1"/>
        <c:axPos val="l"/>
        <c:numFmt formatCode="General" sourceLinked="1"/>
        <c:majorTickMark val="none"/>
        <c:minorTickMark val="none"/>
        <c:tickLblPos val="nextTo"/>
        <c:crossAx val="638151088"/>
        <c:crosses val="autoZero"/>
        <c:crossBetween val="between"/>
      </c:valAx>
      <c:spPr>
        <a:noFill/>
        <a:ln>
          <a:noFill/>
        </a:ln>
        <a:effectLst/>
      </c:spPr>
    </c:plotArea>
    <c:legend>
      <c:legendPos val="b"/>
      <c:legendEntry>
        <c:idx val="0"/>
        <c:delete val="1"/>
      </c:legendEntry>
      <c:layout>
        <c:manualLayout>
          <c:xMode val="edge"/>
          <c:yMode val="edge"/>
          <c:x val="0.31452880961636398"/>
          <c:y val="0.88973457323769234"/>
          <c:w val="0.41495309641977873"/>
          <c:h val="9.542863151008201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099447513812154E-2"/>
          <c:y val="0.12011749370254894"/>
          <c:w val="0.95948434622467771"/>
          <c:h val="0.59676466616169621"/>
        </c:manualLayout>
      </c:layout>
      <c:barChart>
        <c:barDir val="col"/>
        <c:grouping val="clustered"/>
        <c:varyColors val="0"/>
        <c:ser>
          <c:idx val="1"/>
          <c:order val="1"/>
          <c:tx>
            <c:strRef>
              <c:f>'Cálc economia (25%)'!$AB$8</c:f>
              <c:strCache>
                <c:ptCount val="1"/>
                <c:pt idx="0">
                  <c:v>MÊS</c:v>
                </c:pt>
              </c:strCache>
            </c:strRef>
          </c:tx>
          <c:spPr>
            <a:solidFill>
              <a:schemeClr val="accent2"/>
            </a:solidFill>
            <a:ln>
              <a:noFill/>
            </a:ln>
            <a:effectLst/>
          </c:spPr>
          <c:invertIfNegative val="0"/>
          <c:cat>
            <c:strRef>
              <c:f>'Cálc economia (25%)'!$AC$8:$AH$8</c:f>
              <c:strCache>
                <c:ptCount val="6"/>
                <c:pt idx="0">
                  <c:v>MÊS 01</c:v>
                </c:pt>
                <c:pt idx="1">
                  <c:v>MÊS 02</c:v>
                </c:pt>
                <c:pt idx="2">
                  <c:v>MÊS 03</c:v>
                </c:pt>
                <c:pt idx="3">
                  <c:v>MÊS 04</c:v>
                </c:pt>
                <c:pt idx="4">
                  <c:v>MÊS 05</c:v>
                </c:pt>
                <c:pt idx="5">
                  <c:v>MÊS 06</c:v>
                </c:pt>
              </c:strCache>
            </c:strRef>
          </c:cat>
          <c:val>
            <c:numRef>
              <c:f>'Cálc economia (25%)'!$AC$8:$AH$8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B430-44C9-B48F-EA831F60648D}"/>
            </c:ext>
          </c:extLst>
        </c:ser>
        <c:ser>
          <c:idx val="2"/>
          <c:order val="2"/>
          <c:tx>
            <c:strRef>
              <c:f>'Cálc economia (25%)'!$AB$12</c:f>
              <c:strCache>
                <c:ptCount val="1"/>
                <c:pt idx="0">
                  <c:v>Desembolso mês</c:v>
                </c:pt>
              </c:strCache>
            </c:strRef>
          </c:tx>
          <c:spPr>
            <a:solidFill>
              <a:srgbClr val="002060"/>
            </a:solidFill>
            <a:ln>
              <a:noFill/>
            </a:ln>
            <a:effectLst/>
          </c:spPr>
          <c:invertIfNegative val="0"/>
          <c:dLbls>
            <c:dLbl>
              <c:idx val="0"/>
              <c:layout>
                <c:manualLayout>
                  <c:x val="-7.0799846919249912E-2"/>
                  <c:y val="4.94559841740850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30-44C9-B48F-EA831F60648D}"/>
                </c:ext>
              </c:extLst>
            </c:dLbl>
            <c:numFmt formatCode="&quot;R$&quot;\ #,##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'Cálc economia (25%)'!$AC$8:$AH$8</c:f>
              <c:strCache>
                <c:ptCount val="6"/>
                <c:pt idx="0">
                  <c:v>MÊS 01</c:v>
                </c:pt>
                <c:pt idx="1">
                  <c:v>MÊS 02</c:v>
                </c:pt>
                <c:pt idx="2">
                  <c:v>MÊS 03</c:v>
                </c:pt>
                <c:pt idx="3">
                  <c:v>MÊS 04</c:v>
                </c:pt>
                <c:pt idx="4">
                  <c:v>MÊS 05</c:v>
                </c:pt>
                <c:pt idx="5">
                  <c:v>MÊS 06</c:v>
                </c:pt>
              </c:strCache>
            </c:strRef>
          </c:cat>
          <c:val>
            <c:numRef>
              <c:f>'Cálc economia (25%)'!$AC$12:$AH$12</c:f>
              <c:numCache>
                <c:formatCode>_("R$"* #,##0.00_);_("R$"* \(#,##0.00\);_("R$"*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B430-44C9-B48F-EA831F60648D}"/>
            </c:ext>
          </c:extLst>
        </c:ser>
        <c:dLbls>
          <c:showLegendKey val="0"/>
          <c:showVal val="0"/>
          <c:showCatName val="0"/>
          <c:showSerName val="0"/>
          <c:showPercent val="0"/>
          <c:showBubbleSize val="0"/>
        </c:dLbls>
        <c:gapWidth val="150"/>
        <c:axId val="638151088"/>
        <c:axId val="638146168"/>
      </c:barChart>
      <c:lineChart>
        <c:grouping val="standard"/>
        <c:varyColors val="0"/>
        <c:ser>
          <c:idx val="0"/>
          <c:order val="0"/>
          <c:tx>
            <c:strRef>
              <c:f>'Cálc economia (25%)'!$AB$13</c:f>
              <c:strCache>
                <c:ptCount val="1"/>
                <c:pt idx="0">
                  <c:v>Desembolso acum</c:v>
                </c:pt>
              </c:strCache>
            </c:strRef>
          </c:tx>
          <c:spPr>
            <a:ln w="25400" cap="rnd">
              <a:solidFill>
                <a:schemeClr val="accent1"/>
              </a:solidFill>
              <a:round/>
            </a:ln>
            <a:effectLst/>
          </c:spPr>
          <c:marker>
            <c:symbol val="circle"/>
            <c:size val="4"/>
            <c:spPr>
              <a:solidFill>
                <a:srgbClr val="0070C0"/>
              </a:solidFill>
              <a:ln w="9525">
                <a:noFill/>
              </a:ln>
              <a:effectLst/>
            </c:spPr>
          </c:marker>
          <c:dLbls>
            <c:dLbl>
              <c:idx val="5"/>
              <c:layout>
                <c:manualLayout>
                  <c:x val="-5.7860076812432486E-2"/>
                  <c:y val="-2.37976125467538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30-44C9-B48F-EA831F60648D}"/>
                </c:ext>
              </c:extLst>
            </c:dLbl>
            <c:numFmt formatCode="&quot;R$&quot;\ #,##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002060"/>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'Cálc economia (25%)'!$AC$13:$AH$13</c:f>
              <c:numCache>
                <c:formatCode>_("R$"* #,##0.00_);_("R$"* \(#,##0.00\);_("R$"* "-"??_);_(@_)</c:formatCode>
                <c:ptCount val="6"/>
                <c:pt idx="0">
                  <c:v>0</c:v>
                </c:pt>
                <c:pt idx="1">
                  <c:v>0</c:v>
                </c:pt>
                <c:pt idx="2">
                  <c:v>0</c:v>
                </c:pt>
                <c:pt idx="3">
                  <c:v>0</c:v>
                </c:pt>
                <c:pt idx="4">
                  <c:v>0</c:v>
                </c:pt>
                <c:pt idx="5">
                  <c:v>0</c:v>
                </c:pt>
              </c:numCache>
            </c:numRef>
          </c:val>
          <c:smooth val="1"/>
          <c:extLst>
            <c:ext xmlns:c16="http://schemas.microsoft.com/office/drawing/2014/chart" uri="{C3380CC4-5D6E-409C-BE32-E72D297353CC}">
              <c16:uniqueId val="{00000004-B430-44C9-B48F-EA831F60648D}"/>
            </c:ext>
          </c:extLst>
        </c:ser>
        <c:dLbls>
          <c:showLegendKey val="0"/>
          <c:showVal val="1"/>
          <c:showCatName val="0"/>
          <c:showSerName val="0"/>
          <c:showPercent val="0"/>
          <c:showBubbleSize val="0"/>
        </c:dLbls>
        <c:marker val="1"/>
        <c:smooth val="0"/>
        <c:axId val="638151088"/>
        <c:axId val="638146168"/>
      </c:lineChart>
      <c:catAx>
        <c:axId val="6381510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638146168"/>
        <c:crosses val="autoZero"/>
        <c:auto val="1"/>
        <c:lblAlgn val="ctr"/>
        <c:lblOffset val="100"/>
        <c:noMultiLvlLbl val="0"/>
      </c:catAx>
      <c:valAx>
        <c:axId val="638146168"/>
        <c:scaling>
          <c:orientation val="minMax"/>
        </c:scaling>
        <c:delete val="1"/>
        <c:axPos val="l"/>
        <c:numFmt formatCode="&quot;R$&quot;\ #,##0" sourceLinked="0"/>
        <c:majorTickMark val="out"/>
        <c:minorTickMark val="none"/>
        <c:tickLblPos val="nextTo"/>
        <c:crossAx val="638151088"/>
        <c:crosses val="autoZero"/>
        <c:crossBetween val="between"/>
      </c:valAx>
      <c:spPr>
        <a:noFill/>
        <a:ln>
          <a:noFill/>
        </a:ln>
        <a:effectLst/>
      </c:spPr>
    </c:plotArea>
    <c:legend>
      <c:legendPos val="b"/>
      <c:legendEntry>
        <c:idx val="0"/>
        <c:delete val="1"/>
      </c:legendEntry>
      <c:layout>
        <c:manualLayout>
          <c:xMode val="edge"/>
          <c:yMode val="edge"/>
          <c:x val="0.28251375357741298"/>
          <c:y val="0.84872054583781054"/>
          <c:w val="0.46561694618681138"/>
          <c:h val="7.194507565748911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099447513812154E-2"/>
          <c:y val="0.26925992472417454"/>
          <c:w val="0.95948434622467771"/>
          <c:h val="0.4476222351400706"/>
        </c:manualLayout>
      </c:layout>
      <c:barChart>
        <c:barDir val="col"/>
        <c:grouping val="clustered"/>
        <c:varyColors val="0"/>
        <c:ser>
          <c:idx val="1"/>
          <c:order val="1"/>
          <c:tx>
            <c:strRef>
              <c:f>'Cálc economia (25%)'!$AB$8</c:f>
              <c:strCache>
                <c:ptCount val="1"/>
                <c:pt idx="0">
                  <c:v>MÊS</c:v>
                </c:pt>
              </c:strCache>
            </c:strRef>
          </c:tx>
          <c:spPr>
            <a:solidFill>
              <a:schemeClr val="accent2"/>
            </a:solidFill>
            <a:ln>
              <a:noFill/>
            </a:ln>
            <a:effectLst/>
          </c:spPr>
          <c:invertIfNegative val="0"/>
          <c:cat>
            <c:strRef>
              <c:f>'Cálc economia (25%)'!$AC$8:$AH$8</c:f>
              <c:strCache>
                <c:ptCount val="6"/>
                <c:pt idx="0">
                  <c:v>MÊS 01</c:v>
                </c:pt>
                <c:pt idx="1">
                  <c:v>MÊS 02</c:v>
                </c:pt>
                <c:pt idx="2">
                  <c:v>MÊS 03</c:v>
                </c:pt>
                <c:pt idx="3">
                  <c:v>MÊS 04</c:v>
                </c:pt>
                <c:pt idx="4">
                  <c:v>MÊS 05</c:v>
                </c:pt>
                <c:pt idx="5">
                  <c:v>MÊS 06</c:v>
                </c:pt>
              </c:strCache>
            </c:strRef>
          </c:cat>
          <c:val>
            <c:numRef>
              <c:f>'Cálc economia (25%)'!$AC$8:$AH$8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38B5-4240-9F88-BCD6A596160F}"/>
            </c:ext>
          </c:extLst>
        </c:ser>
        <c:ser>
          <c:idx val="2"/>
          <c:order val="2"/>
          <c:tx>
            <c:strRef>
              <c:f>'Cálc economia (25%)'!$AB$12</c:f>
              <c:strCache>
                <c:ptCount val="1"/>
                <c:pt idx="0">
                  <c:v>Desembolso mês</c:v>
                </c:pt>
              </c:strCache>
            </c:strRef>
          </c:tx>
          <c:spPr>
            <a:solidFill>
              <a:srgbClr val="002060"/>
            </a:solidFill>
            <a:ln>
              <a:noFill/>
            </a:ln>
            <a:effectLst/>
          </c:spPr>
          <c:invertIfNegative val="0"/>
          <c:dLbls>
            <c:dLbl>
              <c:idx val="0"/>
              <c:layout>
                <c:manualLayout>
                  <c:x val="-7.0799846919249912E-2"/>
                  <c:y val="4.94559841740850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B5-4240-9F88-BCD6A596160F}"/>
                </c:ext>
              </c:extLst>
            </c:dLbl>
            <c:numFmt formatCode="&quot;R$&quot;\ #,##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'Cálc economia (25%)'!$AC$8:$AH$8</c:f>
              <c:strCache>
                <c:ptCount val="6"/>
                <c:pt idx="0">
                  <c:v>MÊS 01</c:v>
                </c:pt>
                <c:pt idx="1">
                  <c:v>MÊS 02</c:v>
                </c:pt>
                <c:pt idx="2">
                  <c:v>MÊS 03</c:v>
                </c:pt>
                <c:pt idx="3">
                  <c:v>MÊS 04</c:v>
                </c:pt>
                <c:pt idx="4">
                  <c:v>MÊS 05</c:v>
                </c:pt>
                <c:pt idx="5">
                  <c:v>MÊS 06</c:v>
                </c:pt>
              </c:strCache>
            </c:strRef>
          </c:cat>
          <c:val>
            <c:numRef>
              <c:f>'Cálc economia (25%)'!$AC$12:$AH$12</c:f>
              <c:numCache>
                <c:formatCode>_("R$"* #,##0.00_);_("R$"* \(#,##0.00\);_("R$"*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38B5-4240-9F88-BCD6A596160F}"/>
            </c:ext>
          </c:extLst>
        </c:ser>
        <c:ser>
          <c:idx val="3"/>
          <c:order val="3"/>
          <c:tx>
            <c:strRef>
              <c:f>'Cálc economia (25%)'!$AB$14</c:f>
              <c:strCache>
                <c:ptCount val="1"/>
                <c:pt idx="0">
                  <c:v>Custo sem Isol/mês</c:v>
                </c:pt>
              </c:strCache>
            </c:strRef>
          </c:tx>
          <c:spPr>
            <a:solidFill>
              <a:srgbClr val="C00000"/>
            </a:solidFill>
            <a:ln>
              <a:noFill/>
            </a:ln>
            <a:effectLst/>
          </c:spPr>
          <c:invertIfNegative val="0"/>
          <c:val>
            <c:numRef>
              <c:f>'Cálc economia (25%)'!$AC$14:$AH$14</c:f>
              <c:numCache>
                <c:formatCode>_("R$"* #,##0.00_);_("R$"* \(#,##0.00\);_("R$"*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38B5-4240-9F88-BCD6A596160F}"/>
            </c:ext>
          </c:extLst>
        </c:ser>
        <c:dLbls>
          <c:showLegendKey val="0"/>
          <c:showVal val="0"/>
          <c:showCatName val="0"/>
          <c:showSerName val="0"/>
          <c:showPercent val="0"/>
          <c:showBubbleSize val="0"/>
        </c:dLbls>
        <c:gapWidth val="150"/>
        <c:axId val="638151088"/>
        <c:axId val="638146168"/>
      </c:barChart>
      <c:lineChart>
        <c:grouping val="standard"/>
        <c:varyColors val="0"/>
        <c:ser>
          <c:idx val="0"/>
          <c:order val="0"/>
          <c:tx>
            <c:strRef>
              <c:f>'Cálc economia (25%)'!$AB$13</c:f>
              <c:strCache>
                <c:ptCount val="1"/>
                <c:pt idx="0">
                  <c:v>Desembolso acum</c:v>
                </c:pt>
              </c:strCache>
            </c:strRef>
          </c:tx>
          <c:spPr>
            <a:ln w="25400" cap="rnd">
              <a:solidFill>
                <a:schemeClr val="accent1"/>
              </a:solidFill>
              <a:round/>
            </a:ln>
            <a:effectLst/>
          </c:spPr>
          <c:marker>
            <c:symbol val="circle"/>
            <c:size val="4"/>
            <c:spPr>
              <a:solidFill>
                <a:srgbClr val="0070C0"/>
              </a:solidFill>
              <a:ln w="9525">
                <a:noFill/>
              </a:ln>
              <a:effectLst/>
            </c:spPr>
          </c:marker>
          <c:dLbls>
            <c:dLbl>
              <c:idx val="5"/>
              <c:layout>
                <c:manualLayout>
                  <c:x val="-5.7860076812432486E-2"/>
                  <c:y val="-2.37976125467538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B5-4240-9F88-BCD6A596160F}"/>
                </c:ext>
              </c:extLst>
            </c:dLbl>
            <c:numFmt formatCode="&quot;R$&quot;\ #,##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002060"/>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'Cálc economia (25%)'!$AC$13:$AH$13</c:f>
              <c:numCache>
                <c:formatCode>_("R$"* #,##0.00_);_("R$"* \(#,##0.00\);_("R$"* "-"??_);_(@_)</c:formatCode>
                <c:ptCount val="6"/>
                <c:pt idx="0">
                  <c:v>0</c:v>
                </c:pt>
                <c:pt idx="1">
                  <c:v>0</c:v>
                </c:pt>
                <c:pt idx="2">
                  <c:v>0</c:v>
                </c:pt>
                <c:pt idx="3">
                  <c:v>0</c:v>
                </c:pt>
                <c:pt idx="4">
                  <c:v>0</c:v>
                </c:pt>
                <c:pt idx="5">
                  <c:v>0</c:v>
                </c:pt>
              </c:numCache>
            </c:numRef>
          </c:val>
          <c:smooth val="1"/>
          <c:extLst>
            <c:ext xmlns:c16="http://schemas.microsoft.com/office/drawing/2014/chart" uri="{C3380CC4-5D6E-409C-BE32-E72D297353CC}">
              <c16:uniqueId val="{00000005-38B5-4240-9F88-BCD6A596160F}"/>
            </c:ext>
          </c:extLst>
        </c:ser>
        <c:dLbls>
          <c:showLegendKey val="0"/>
          <c:showVal val="1"/>
          <c:showCatName val="0"/>
          <c:showSerName val="0"/>
          <c:showPercent val="0"/>
          <c:showBubbleSize val="0"/>
        </c:dLbls>
        <c:marker val="1"/>
        <c:smooth val="0"/>
        <c:axId val="638151088"/>
        <c:axId val="638146168"/>
      </c:lineChart>
      <c:catAx>
        <c:axId val="6381510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638146168"/>
        <c:crosses val="autoZero"/>
        <c:auto val="1"/>
        <c:lblAlgn val="ctr"/>
        <c:lblOffset val="100"/>
        <c:noMultiLvlLbl val="0"/>
      </c:catAx>
      <c:valAx>
        <c:axId val="638146168"/>
        <c:scaling>
          <c:orientation val="minMax"/>
        </c:scaling>
        <c:delete val="0"/>
        <c:axPos val="l"/>
        <c:numFmt formatCode="&quot;R$&quot;\ #,##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C00000"/>
                </a:solidFill>
                <a:latin typeface="+mn-lt"/>
                <a:ea typeface="+mn-ea"/>
                <a:cs typeface="+mn-cs"/>
              </a:defRPr>
            </a:pPr>
            <a:endParaRPr lang="pt-BR"/>
          </a:p>
        </c:txPr>
        <c:crossAx val="638151088"/>
        <c:crosses val="autoZero"/>
        <c:crossBetween val="between"/>
      </c:valAx>
      <c:spPr>
        <a:noFill/>
        <a:ln>
          <a:noFill/>
        </a:ln>
        <a:effectLst/>
      </c:spPr>
    </c:plotArea>
    <c:legend>
      <c:legendPos val="b"/>
      <c:legendEntry>
        <c:idx val="0"/>
        <c:delete val="1"/>
      </c:legendEntry>
      <c:layout>
        <c:manualLayout>
          <c:xMode val="edge"/>
          <c:yMode val="edge"/>
          <c:x val="0.18458531666592523"/>
          <c:y val="0.84872054583781054"/>
          <c:w val="0.71683808591722642"/>
          <c:h val="7.194507565748911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HISTOGRAMA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tx>
            <c:strRef>
              <c:f>'Cálc economia (25%)'!$AB$9</c:f>
              <c:strCache>
                <c:ptCount val="1"/>
                <c:pt idx="0">
                  <c:v>efetivo</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'Cálc economia (25%)'!$AC$8:$AH$8</c:f>
              <c:strCache>
                <c:ptCount val="6"/>
                <c:pt idx="0">
                  <c:v>MÊS 01</c:v>
                </c:pt>
                <c:pt idx="1">
                  <c:v>MÊS 02</c:v>
                </c:pt>
                <c:pt idx="2">
                  <c:v>MÊS 03</c:v>
                </c:pt>
                <c:pt idx="3">
                  <c:v>MÊS 04</c:v>
                </c:pt>
                <c:pt idx="4">
                  <c:v>MÊS 05</c:v>
                </c:pt>
                <c:pt idx="5">
                  <c:v>MÊS 06</c:v>
                </c:pt>
              </c:strCache>
            </c:strRef>
          </c:cat>
          <c:val>
            <c:numRef>
              <c:f>'Cálc economia (25%)'!$AC$9:$AH$9</c:f>
              <c:numCache>
                <c:formatCode>General</c:formatCode>
                <c:ptCount val="6"/>
                <c:pt idx="0">
                  <c:v>4</c:v>
                </c:pt>
                <c:pt idx="1">
                  <c:v>6</c:v>
                </c:pt>
                <c:pt idx="2">
                  <c:v>8</c:v>
                </c:pt>
                <c:pt idx="3">
                  <c:v>8</c:v>
                </c:pt>
                <c:pt idx="4">
                  <c:v>6</c:v>
                </c:pt>
                <c:pt idx="5">
                  <c:v>5</c:v>
                </c:pt>
              </c:numCache>
            </c:numRef>
          </c:val>
          <c:extLst>
            <c:ext xmlns:c16="http://schemas.microsoft.com/office/drawing/2014/chart" uri="{C3380CC4-5D6E-409C-BE32-E72D297353CC}">
              <c16:uniqueId val="{00000000-9188-498D-9468-B06041DE06CF}"/>
            </c:ext>
          </c:extLst>
        </c:ser>
        <c:dLbls>
          <c:showLegendKey val="0"/>
          <c:showVal val="0"/>
          <c:showCatName val="0"/>
          <c:showSerName val="0"/>
          <c:showPercent val="0"/>
          <c:showBubbleSize val="0"/>
        </c:dLbls>
        <c:gapWidth val="219"/>
        <c:overlap val="-27"/>
        <c:axId val="1025561855"/>
        <c:axId val="1025550623"/>
      </c:barChart>
      <c:catAx>
        <c:axId val="1025561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025550623"/>
        <c:crosses val="autoZero"/>
        <c:auto val="1"/>
        <c:lblAlgn val="ctr"/>
        <c:lblOffset val="100"/>
        <c:noMultiLvlLbl val="0"/>
      </c:catAx>
      <c:valAx>
        <c:axId val="1025550623"/>
        <c:scaling>
          <c:orientation val="minMax"/>
        </c:scaling>
        <c:delete val="1"/>
        <c:axPos val="l"/>
        <c:numFmt formatCode="General" sourceLinked="1"/>
        <c:majorTickMark val="none"/>
        <c:minorTickMark val="none"/>
        <c:tickLblPos val="nextTo"/>
        <c:crossAx val="10255618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099447513812154E-2"/>
          <c:y val="0.26925992472417454"/>
          <c:w val="0.95948434622467771"/>
          <c:h val="0.4476222351400706"/>
        </c:manualLayout>
      </c:layout>
      <c:barChart>
        <c:barDir val="col"/>
        <c:grouping val="clustered"/>
        <c:varyColors val="0"/>
        <c:ser>
          <c:idx val="1"/>
          <c:order val="1"/>
          <c:tx>
            <c:strRef>
              <c:f>'Cálc economia (25%)'!$AB$8</c:f>
              <c:strCache>
                <c:ptCount val="1"/>
                <c:pt idx="0">
                  <c:v>MÊS</c:v>
                </c:pt>
              </c:strCache>
            </c:strRef>
          </c:tx>
          <c:spPr>
            <a:solidFill>
              <a:schemeClr val="accent2"/>
            </a:solidFill>
            <a:ln>
              <a:noFill/>
            </a:ln>
            <a:effectLst/>
          </c:spPr>
          <c:invertIfNegative val="0"/>
          <c:cat>
            <c:strRef>
              <c:f>'Cálc economia (25%)'!$AC$8:$AH$8</c:f>
              <c:strCache>
                <c:ptCount val="6"/>
                <c:pt idx="0">
                  <c:v>MÊS 01</c:v>
                </c:pt>
                <c:pt idx="1">
                  <c:v>MÊS 02</c:v>
                </c:pt>
                <c:pt idx="2">
                  <c:v>MÊS 03</c:v>
                </c:pt>
                <c:pt idx="3">
                  <c:v>MÊS 04</c:v>
                </c:pt>
                <c:pt idx="4">
                  <c:v>MÊS 05</c:v>
                </c:pt>
                <c:pt idx="5">
                  <c:v>MÊS 06</c:v>
                </c:pt>
              </c:strCache>
            </c:strRef>
          </c:cat>
          <c:val>
            <c:numRef>
              <c:f>'Cálc economia (25%)'!$AC$8:$AH$8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787D-4229-89EA-2E2F01E6794A}"/>
            </c:ext>
          </c:extLst>
        </c:ser>
        <c:ser>
          <c:idx val="2"/>
          <c:order val="2"/>
          <c:tx>
            <c:strRef>
              <c:f>'Cálc economia (25%)'!$AB$12</c:f>
              <c:strCache>
                <c:ptCount val="1"/>
                <c:pt idx="0">
                  <c:v>Desembolso mês</c:v>
                </c:pt>
              </c:strCache>
            </c:strRef>
          </c:tx>
          <c:spPr>
            <a:solidFill>
              <a:srgbClr val="002060"/>
            </a:solidFill>
            <a:ln>
              <a:noFill/>
            </a:ln>
            <a:effectLst/>
          </c:spPr>
          <c:invertIfNegative val="0"/>
          <c:dLbls>
            <c:dLbl>
              <c:idx val="0"/>
              <c:layout>
                <c:manualLayout>
                  <c:x val="-7.0799846919249912E-2"/>
                  <c:y val="4.94559841740850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7D-4229-89EA-2E2F01E6794A}"/>
                </c:ext>
              </c:extLst>
            </c:dLbl>
            <c:numFmt formatCode="&quot;R$&quot;\ #,##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'Cálc economia (25%)'!$AC$8:$AH$8</c:f>
              <c:strCache>
                <c:ptCount val="6"/>
                <c:pt idx="0">
                  <c:v>MÊS 01</c:v>
                </c:pt>
                <c:pt idx="1">
                  <c:v>MÊS 02</c:v>
                </c:pt>
                <c:pt idx="2">
                  <c:v>MÊS 03</c:v>
                </c:pt>
                <c:pt idx="3">
                  <c:v>MÊS 04</c:v>
                </c:pt>
                <c:pt idx="4">
                  <c:v>MÊS 05</c:v>
                </c:pt>
                <c:pt idx="5">
                  <c:v>MÊS 06</c:v>
                </c:pt>
              </c:strCache>
            </c:strRef>
          </c:cat>
          <c:val>
            <c:numRef>
              <c:f>'Cálc economia (25%)'!$AC$12:$AH$12</c:f>
              <c:numCache>
                <c:formatCode>_("R$"* #,##0.00_);_("R$"* \(#,##0.00\);_("R$"*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787D-4229-89EA-2E2F01E6794A}"/>
            </c:ext>
          </c:extLst>
        </c:ser>
        <c:ser>
          <c:idx val="3"/>
          <c:order val="3"/>
          <c:tx>
            <c:strRef>
              <c:f>'Cálc economia (25%)'!$AB$14</c:f>
              <c:strCache>
                <c:ptCount val="1"/>
                <c:pt idx="0">
                  <c:v>Custo sem Isol/mês</c:v>
                </c:pt>
              </c:strCache>
            </c:strRef>
          </c:tx>
          <c:spPr>
            <a:solidFill>
              <a:srgbClr val="C00000"/>
            </a:solidFill>
            <a:ln>
              <a:noFill/>
            </a:ln>
            <a:effectLst/>
          </c:spPr>
          <c:invertIfNegative val="0"/>
          <c:dLbls>
            <c:dLbl>
              <c:idx val="1"/>
              <c:layout>
                <c:manualLayout>
                  <c:x val="3.7780712294193136E-2"/>
                  <c:y val="-9.84340079421518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87D-4229-89EA-2E2F01E6794A}"/>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'Cálc economia (25%)'!$AC$14:$AH$14</c:f>
              <c:numCache>
                <c:formatCode>_("R$"* #,##0.00_);_("R$"* \(#,##0.00\);_("R$"*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787D-4229-89EA-2E2F01E6794A}"/>
            </c:ext>
          </c:extLst>
        </c:ser>
        <c:dLbls>
          <c:showLegendKey val="0"/>
          <c:showVal val="0"/>
          <c:showCatName val="0"/>
          <c:showSerName val="0"/>
          <c:showPercent val="0"/>
          <c:showBubbleSize val="0"/>
        </c:dLbls>
        <c:gapWidth val="150"/>
        <c:axId val="638151088"/>
        <c:axId val="638146168"/>
      </c:barChart>
      <c:lineChart>
        <c:grouping val="standard"/>
        <c:varyColors val="0"/>
        <c:ser>
          <c:idx val="0"/>
          <c:order val="0"/>
          <c:tx>
            <c:strRef>
              <c:f>'Cálc economia (25%)'!$AB$13</c:f>
              <c:strCache>
                <c:ptCount val="1"/>
                <c:pt idx="0">
                  <c:v>Desembolso acum</c:v>
                </c:pt>
              </c:strCache>
            </c:strRef>
          </c:tx>
          <c:spPr>
            <a:ln w="25400" cap="rnd">
              <a:solidFill>
                <a:schemeClr val="accent1"/>
              </a:solidFill>
              <a:round/>
            </a:ln>
            <a:effectLst/>
          </c:spPr>
          <c:marker>
            <c:symbol val="circle"/>
            <c:size val="4"/>
            <c:spPr>
              <a:solidFill>
                <a:srgbClr val="0070C0"/>
              </a:solidFill>
              <a:ln w="9525">
                <a:noFill/>
              </a:ln>
              <a:effectLst/>
            </c:spPr>
          </c:marker>
          <c:dLbls>
            <c:dLbl>
              <c:idx val="5"/>
              <c:layout>
                <c:manualLayout>
                  <c:x val="-5.7860076812432486E-2"/>
                  <c:y val="-2.37976125467538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87D-4229-89EA-2E2F01E6794A}"/>
                </c:ext>
              </c:extLst>
            </c:dLbl>
            <c:numFmt formatCode="&quot;R$&quot;\ #,##0" sourceLinked="0"/>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002060"/>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'Cálc economia (25%)'!$AC$13:$AH$13</c:f>
              <c:numCache>
                <c:formatCode>_("R$"* #,##0.00_);_("R$"* \(#,##0.00\);_("R$"* "-"??_);_(@_)</c:formatCode>
                <c:ptCount val="6"/>
                <c:pt idx="0">
                  <c:v>0</c:v>
                </c:pt>
                <c:pt idx="1">
                  <c:v>0</c:v>
                </c:pt>
                <c:pt idx="2">
                  <c:v>0</c:v>
                </c:pt>
                <c:pt idx="3">
                  <c:v>0</c:v>
                </c:pt>
                <c:pt idx="4">
                  <c:v>0</c:v>
                </c:pt>
                <c:pt idx="5">
                  <c:v>0</c:v>
                </c:pt>
              </c:numCache>
            </c:numRef>
          </c:val>
          <c:smooth val="1"/>
          <c:extLst>
            <c:ext xmlns:c16="http://schemas.microsoft.com/office/drawing/2014/chart" uri="{C3380CC4-5D6E-409C-BE32-E72D297353CC}">
              <c16:uniqueId val="{00000006-787D-4229-89EA-2E2F01E6794A}"/>
            </c:ext>
          </c:extLst>
        </c:ser>
        <c:dLbls>
          <c:showLegendKey val="0"/>
          <c:showVal val="1"/>
          <c:showCatName val="0"/>
          <c:showSerName val="0"/>
          <c:showPercent val="0"/>
          <c:showBubbleSize val="0"/>
        </c:dLbls>
        <c:marker val="1"/>
        <c:smooth val="0"/>
        <c:axId val="638151088"/>
        <c:axId val="638146168"/>
      </c:lineChart>
      <c:catAx>
        <c:axId val="6381510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638146168"/>
        <c:crosses val="autoZero"/>
        <c:auto val="1"/>
        <c:lblAlgn val="ctr"/>
        <c:lblOffset val="100"/>
        <c:noMultiLvlLbl val="0"/>
      </c:catAx>
      <c:valAx>
        <c:axId val="638146168"/>
        <c:scaling>
          <c:orientation val="minMax"/>
        </c:scaling>
        <c:delete val="1"/>
        <c:axPos val="l"/>
        <c:numFmt formatCode="&quot;R$&quot;\ #,##0" sourceLinked="0"/>
        <c:majorTickMark val="out"/>
        <c:minorTickMark val="none"/>
        <c:tickLblPos val="nextTo"/>
        <c:crossAx val="638151088"/>
        <c:crosses val="autoZero"/>
        <c:crossBetween val="between"/>
      </c:valAx>
      <c:spPr>
        <a:noFill/>
        <a:ln>
          <a:noFill/>
        </a:ln>
        <a:effectLst/>
      </c:spPr>
    </c:plotArea>
    <c:legend>
      <c:legendPos val="b"/>
      <c:legendEntry>
        <c:idx val="0"/>
        <c:delete val="1"/>
      </c:legendEntry>
      <c:layout>
        <c:manualLayout>
          <c:xMode val="edge"/>
          <c:yMode val="edge"/>
          <c:x val="0.18458531666592523"/>
          <c:y val="0.84872054583781054"/>
          <c:w val="0.71683808591722642"/>
          <c:h val="7.194507565748911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orientation="portrait"/>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82180124632787E-3"/>
          <c:y val="0.1061155266062868"/>
          <c:w val="0.98463563975073443"/>
          <c:h val="0.7371209482400245"/>
        </c:manualLayout>
      </c:layout>
      <c:barChart>
        <c:barDir val="col"/>
        <c:grouping val="clustered"/>
        <c:varyColors val="0"/>
        <c:ser>
          <c:idx val="0"/>
          <c:order val="0"/>
          <c:tx>
            <c:strRef>
              <c:f>CURVA!$N$58</c:f>
              <c:strCache>
                <c:ptCount val="1"/>
                <c:pt idx="0">
                  <c:v>PREV.</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00206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CURVA!$O$57:$V$57</c:f>
              <c:numCache>
                <c:formatCode>mmm\-yy</c:formatCode>
                <c:ptCount val="8"/>
                <c:pt idx="0">
                  <c:v>44713</c:v>
                </c:pt>
                <c:pt idx="1">
                  <c:v>44744</c:v>
                </c:pt>
                <c:pt idx="2">
                  <c:v>44775</c:v>
                </c:pt>
                <c:pt idx="3">
                  <c:v>44806</c:v>
                </c:pt>
                <c:pt idx="4">
                  <c:v>44837</c:v>
                </c:pt>
                <c:pt idx="5">
                  <c:v>44868</c:v>
                </c:pt>
                <c:pt idx="6">
                  <c:v>44899</c:v>
                </c:pt>
                <c:pt idx="7">
                  <c:v>44930</c:v>
                </c:pt>
              </c:numCache>
            </c:numRef>
          </c:cat>
          <c:val>
            <c:numRef>
              <c:f>CURVA!$O$58:$V$58</c:f>
              <c:numCache>
                <c:formatCode>0</c:formatCode>
                <c:ptCount val="8"/>
                <c:pt idx="0">
                  <c:v>8</c:v>
                </c:pt>
                <c:pt idx="1">
                  <c:v>8</c:v>
                </c:pt>
                <c:pt idx="2">
                  <c:v>8</c:v>
                </c:pt>
                <c:pt idx="3">
                  <c:v>8</c:v>
                </c:pt>
                <c:pt idx="4">
                  <c:v>8</c:v>
                </c:pt>
                <c:pt idx="5">
                  <c:v>8</c:v>
                </c:pt>
                <c:pt idx="6">
                  <c:v>8</c:v>
                </c:pt>
                <c:pt idx="7">
                  <c:v>8</c:v>
                </c:pt>
              </c:numCache>
            </c:numRef>
          </c:val>
          <c:extLst>
            <c:ext xmlns:c16="http://schemas.microsoft.com/office/drawing/2014/chart" uri="{C3380CC4-5D6E-409C-BE32-E72D297353CC}">
              <c16:uniqueId val="{00000000-4544-48A8-B70B-3CA073F47C43}"/>
            </c:ext>
          </c:extLst>
        </c:ser>
        <c:ser>
          <c:idx val="1"/>
          <c:order val="1"/>
          <c:tx>
            <c:strRef>
              <c:f>CURVA!$N$59</c:f>
              <c:strCache>
                <c:ptCount val="1"/>
                <c:pt idx="0">
                  <c:v>REAL</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ysClr val="windowText" lastClr="000000"/>
                    </a:solidFill>
                    <a:latin typeface="+mn-lt"/>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CURVA!$O$57:$V$57</c:f>
              <c:numCache>
                <c:formatCode>mmm\-yy</c:formatCode>
                <c:ptCount val="8"/>
                <c:pt idx="0">
                  <c:v>44713</c:v>
                </c:pt>
                <c:pt idx="1">
                  <c:v>44744</c:v>
                </c:pt>
                <c:pt idx="2">
                  <c:v>44775</c:v>
                </c:pt>
                <c:pt idx="3">
                  <c:v>44806</c:v>
                </c:pt>
                <c:pt idx="4">
                  <c:v>44837</c:v>
                </c:pt>
                <c:pt idx="5">
                  <c:v>44868</c:v>
                </c:pt>
                <c:pt idx="6">
                  <c:v>44899</c:v>
                </c:pt>
                <c:pt idx="7">
                  <c:v>44930</c:v>
                </c:pt>
              </c:numCache>
            </c:numRef>
          </c:cat>
          <c:val>
            <c:numRef>
              <c:f>CURVA!$O$59:$S$59</c:f>
              <c:numCache>
                <c:formatCode>General</c:formatCode>
                <c:ptCount val="5"/>
              </c:numCache>
            </c:numRef>
          </c:val>
          <c:extLst>
            <c:ext xmlns:c16="http://schemas.microsoft.com/office/drawing/2014/chart" uri="{C3380CC4-5D6E-409C-BE32-E72D297353CC}">
              <c16:uniqueId val="{00000001-4544-48A8-B70B-3CA073F47C43}"/>
            </c:ext>
          </c:extLst>
        </c:ser>
        <c:dLbls>
          <c:showLegendKey val="0"/>
          <c:showVal val="0"/>
          <c:showCatName val="0"/>
          <c:showSerName val="0"/>
          <c:showPercent val="0"/>
          <c:showBubbleSize val="0"/>
        </c:dLbls>
        <c:gapWidth val="100"/>
        <c:overlap val="-27"/>
        <c:axId val="1026597152"/>
        <c:axId val="1026599952"/>
      </c:barChart>
      <c:dateAx>
        <c:axId val="102659715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600" b="0" i="0" u="none" strike="noStrike" kern="1200" baseline="0">
                <a:solidFill>
                  <a:srgbClr val="002060"/>
                </a:solidFill>
                <a:latin typeface="+mn-lt"/>
                <a:ea typeface="+mn-ea"/>
                <a:cs typeface="+mn-cs"/>
              </a:defRPr>
            </a:pPr>
            <a:endParaRPr lang="pt-BR"/>
          </a:p>
        </c:txPr>
        <c:crossAx val="1026599952"/>
        <c:crosses val="autoZero"/>
        <c:auto val="1"/>
        <c:lblOffset val="100"/>
        <c:baseTimeUnit val="months"/>
      </c:dateAx>
      <c:valAx>
        <c:axId val="1026599952"/>
        <c:scaling>
          <c:orientation val="minMax"/>
        </c:scaling>
        <c:delete val="1"/>
        <c:axPos val="l"/>
        <c:numFmt formatCode="0" sourceLinked="1"/>
        <c:majorTickMark val="none"/>
        <c:minorTickMark val="none"/>
        <c:tickLblPos val="nextTo"/>
        <c:crossAx val="1026597152"/>
        <c:crosses val="autoZero"/>
        <c:crossBetween val="between"/>
      </c:valAx>
      <c:spPr>
        <a:noFill/>
        <a:ln>
          <a:noFill/>
        </a:ln>
        <a:effectLst/>
      </c:spPr>
    </c:plotArea>
    <c:legend>
      <c:legendPos val="b"/>
      <c:layout>
        <c:manualLayout>
          <c:xMode val="edge"/>
          <c:yMode val="edge"/>
          <c:x val="0.4227957803599629"/>
          <c:y val="0.90742178779318394"/>
          <c:w val="0.15440843928007422"/>
          <c:h val="9.2578212206815974E-2"/>
        </c:manualLayout>
      </c:layout>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alpha val="0"/>
      </a:schemeClr>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099447513812154E-2"/>
          <c:y val="5.3003533568904596E-2"/>
          <c:w val="0.95948434622467771"/>
          <c:h val="0.66387876427107384"/>
        </c:manualLayout>
      </c:layout>
      <c:barChart>
        <c:barDir val="col"/>
        <c:grouping val="clustered"/>
        <c:varyColors val="0"/>
        <c:ser>
          <c:idx val="1"/>
          <c:order val="1"/>
          <c:tx>
            <c:strRef>
              <c:f>'Cálc economia (25%)'!$AB$8</c:f>
              <c:strCache>
                <c:ptCount val="1"/>
                <c:pt idx="0">
                  <c:v>MÊS</c:v>
                </c:pt>
              </c:strCache>
            </c:strRef>
          </c:tx>
          <c:spPr>
            <a:solidFill>
              <a:schemeClr val="accent2"/>
            </a:solidFill>
            <a:ln>
              <a:noFill/>
            </a:ln>
            <a:effectLst/>
          </c:spPr>
          <c:invertIfNegative val="0"/>
          <c:cat>
            <c:strRef>
              <c:f>'Cálc economia (25%)'!$AC$8:$AH$8</c:f>
              <c:strCache>
                <c:ptCount val="6"/>
                <c:pt idx="0">
                  <c:v>MÊS 01</c:v>
                </c:pt>
                <c:pt idx="1">
                  <c:v>MÊS 02</c:v>
                </c:pt>
                <c:pt idx="2">
                  <c:v>MÊS 03</c:v>
                </c:pt>
                <c:pt idx="3">
                  <c:v>MÊS 04</c:v>
                </c:pt>
                <c:pt idx="4">
                  <c:v>MÊS 05</c:v>
                </c:pt>
                <c:pt idx="5">
                  <c:v>MÊS 06</c:v>
                </c:pt>
              </c:strCache>
            </c:strRef>
          </c:cat>
          <c:val>
            <c:numRef>
              <c:f>'Cálc economia (25%)'!$AC$8:$AH$8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50A-4257-8EFC-99336B09AF82}"/>
            </c:ext>
          </c:extLst>
        </c:ser>
        <c:ser>
          <c:idx val="2"/>
          <c:order val="2"/>
          <c:tx>
            <c:strRef>
              <c:f>'Cálc economia (25%)'!$AB$10</c:f>
              <c:strCache>
                <c:ptCount val="1"/>
                <c:pt idx="0">
                  <c:v>Prev.</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'Cálc economia (25%)'!$AC$8:$AH$8</c:f>
              <c:strCache>
                <c:ptCount val="6"/>
                <c:pt idx="0">
                  <c:v>MÊS 01</c:v>
                </c:pt>
                <c:pt idx="1">
                  <c:v>MÊS 02</c:v>
                </c:pt>
                <c:pt idx="2">
                  <c:v>MÊS 03</c:v>
                </c:pt>
                <c:pt idx="3">
                  <c:v>MÊS 04</c:v>
                </c:pt>
                <c:pt idx="4">
                  <c:v>MÊS 05</c:v>
                </c:pt>
                <c:pt idx="5">
                  <c:v>MÊS 06</c:v>
                </c:pt>
              </c:strCache>
            </c:strRef>
          </c:cat>
          <c:val>
            <c:numRef>
              <c:f>'Cálc economia (25%)'!$AC$10:$AH$10</c:f>
              <c:numCache>
                <c:formatCode>0.00</c:formatCode>
                <c:ptCount val="6"/>
                <c:pt idx="0">
                  <c:v>112.90284456000001</c:v>
                </c:pt>
                <c:pt idx="1">
                  <c:v>169.35426683999998</c:v>
                </c:pt>
                <c:pt idx="2">
                  <c:v>225.80568912000001</c:v>
                </c:pt>
                <c:pt idx="3">
                  <c:v>225.80568912000001</c:v>
                </c:pt>
                <c:pt idx="4">
                  <c:v>169.35426683999998</c:v>
                </c:pt>
                <c:pt idx="5">
                  <c:v>141.12855569999999</c:v>
                </c:pt>
              </c:numCache>
            </c:numRef>
          </c:val>
          <c:extLst>
            <c:ext xmlns:c16="http://schemas.microsoft.com/office/drawing/2014/chart" uri="{C3380CC4-5D6E-409C-BE32-E72D297353CC}">
              <c16:uniqueId val="{00000001-950A-4257-8EFC-99336B09AF82}"/>
            </c:ext>
          </c:extLst>
        </c:ser>
        <c:dLbls>
          <c:showLegendKey val="0"/>
          <c:showVal val="0"/>
          <c:showCatName val="0"/>
          <c:showSerName val="0"/>
          <c:showPercent val="0"/>
          <c:showBubbleSize val="0"/>
        </c:dLbls>
        <c:gapWidth val="219"/>
        <c:axId val="638151088"/>
        <c:axId val="638146168"/>
      </c:barChart>
      <c:lineChart>
        <c:grouping val="standard"/>
        <c:varyColors val="0"/>
        <c:ser>
          <c:idx val="0"/>
          <c:order val="0"/>
          <c:tx>
            <c:strRef>
              <c:f>'Cálc economia (25%)'!$AB$11</c:f>
              <c:strCache>
                <c:ptCount val="1"/>
                <c:pt idx="0">
                  <c:v>Prev. Acum</c:v>
                </c:pt>
              </c:strCache>
            </c:strRef>
          </c:tx>
          <c:spPr>
            <a:ln w="25400" cap="rnd">
              <a:solidFill>
                <a:schemeClr val="accent1"/>
              </a:solidFill>
              <a:round/>
            </a:ln>
            <a:effectLst/>
          </c:spPr>
          <c:marker>
            <c:symbol val="circle"/>
            <c:size val="4"/>
            <c:spPr>
              <a:solidFill>
                <a:srgbClr val="0070C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002060"/>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'Cálc economia (25%)'!$AC$11:$AH$11</c:f>
              <c:numCache>
                <c:formatCode>0.00</c:formatCode>
                <c:ptCount val="6"/>
                <c:pt idx="0">
                  <c:v>112.90284456000001</c:v>
                </c:pt>
                <c:pt idx="1">
                  <c:v>282.25711139999999</c:v>
                </c:pt>
                <c:pt idx="2">
                  <c:v>508.06280052</c:v>
                </c:pt>
                <c:pt idx="3">
                  <c:v>733.86848964000001</c:v>
                </c:pt>
                <c:pt idx="4">
                  <c:v>903.22275648000004</c:v>
                </c:pt>
                <c:pt idx="5">
                  <c:v>1044.3513121800001</c:v>
                </c:pt>
              </c:numCache>
            </c:numRef>
          </c:val>
          <c:smooth val="1"/>
          <c:extLst>
            <c:ext xmlns:c16="http://schemas.microsoft.com/office/drawing/2014/chart" uri="{C3380CC4-5D6E-409C-BE32-E72D297353CC}">
              <c16:uniqueId val="{00000002-950A-4257-8EFC-99336B09AF82}"/>
            </c:ext>
          </c:extLst>
        </c:ser>
        <c:dLbls>
          <c:showLegendKey val="0"/>
          <c:showVal val="0"/>
          <c:showCatName val="0"/>
          <c:showSerName val="0"/>
          <c:showPercent val="0"/>
          <c:showBubbleSize val="0"/>
        </c:dLbls>
        <c:marker val="1"/>
        <c:smooth val="0"/>
        <c:axId val="638151088"/>
        <c:axId val="638146168"/>
      </c:lineChart>
      <c:catAx>
        <c:axId val="638151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638146168"/>
        <c:crosses val="autoZero"/>
        <c:auto val="1"/>
        <c:lblAlgn val="ctr"/>
        <c:lblOffset val="100"/>
        <c:noMultiLvlLbl val="0"/>
      </c:catAx>
      <c:valAx>
        <c:axId val="638146168"/>
        <c:scaling>
          <c:orientation val="minMax"/>
        </c:scaling>
        <c:delete val="1"/>
        <c:axPos val="l"/>
        <c:numFmt formatCode="General" sourceLinked="1"/>
        <c:majorTickMark val="none"/>
        <c:minorTickMark val="none"/>
        <c:tickLblPos val="nextTo"/>
        <c:crossAx val="638151088"/>
        <c:crosses val="autoZero"/>
        <c:crossBetween val="between"/>
      </c:valAx>
      <c:spPr>
        <a:noFill/>
        <a:ln>
          <a:noFill/>
        </a:ln>
        <a:effectLst/>
      </c:spPr>
    </c:plotArea>
    <c:legend>
      <c:legendPos val="b"/>
      <c:legendEntry>
        <c:idx val="0"/>
        <c:delete val="1"/>
      </c:legendEntry>
      <c:layout>
        <c:manualLayout>
          <c:xMode val="edge"/>
          <c:yMode val="edge"/>
          <c:x val="0.31452880961636398"/>
          <c:y val="0.88973457323769234"/>
          <c:w val="0.41495309641977873"/>
          <c:h val="9.542863151008201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099447513812154E-2"/>
          <c:y val="0.26925992472417454"/>
          <c:w val="0.95948434622467771"/>
          <c:h val="0.4476222351400706"/>
        </c:manualLayout>
      </c:layout>
      <c:barChart>
        <c:barDir val="col"/>
        <c:grouping val="clustered"/>
        <c:varyColors val="0"/>
        <c:ser>
          <c:idx val="1"/>
          <c:order val="1"/>
          <c:tx>
            <c:strRef>
              <c:f>'Cálc economia (25%)'!$AB$8</c:f>
              <c:strCache>
                <c:ptCount val="1"/>
                <c:pt idx="0">
                  <c:v>MÊS</c:v>
                </c:pt>
              </c:strCache>
            </c:strRef>
          </c:tx>
          <c:spPr>
            <a:solidFill>
              <a:schemeClr val="accent2"/>
            </a:solidFill>
            <a:ln>
              <a:noFill/>
            </a:ln>
            <a:effectLst/>
          </c:spPr>
          <c:invertIfNegative val="0"/>
          <c:cat>
            <c:strRef>
              <c:f>'Cálc economia (25%)'!$AC$8:$AH$8</c:f>
              <c:strCache>
                <c:ptCount val="6"/>
                <c:pt idx="0">
                  <c:v>MÊS 01</c:v>
                </c:pt>
                <c:pt idx="1">
                  <c:v>MÊS 02</c:v>
                </c:pt>
                <c:pt idx="2">
                  <c:v>MÊS 03</c:v>
                </c:pt>
                <c:pt idx="3">
                  <c:v>MÊS 04</c:v>
                </c:pt>
                <c:pt idx="4">
                  <c:v>MÊS 05</c:v>
                </c:pt>
                <c:pt idx="5">
                  <c:v>MÊS 06</c:v>
                </c:pt>
              </c:strCache>
            </c:strRef>
          </c:cat>
          <c:val>
            <c:numRef>
              <c:f>'Cálc economia (25%)'!$AC$8:$AH$8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E76C-40C1-99CE-C605482CA477}"/>
            </c:ext>
          </c:extLst>
        </c:ser>
        <c:ser>
          <c:idx val="2"/>
          <c:order val="2"/>
          <c:tx>
            <c:strRef>
              <c:f>'Cálc economia (25%)'!$AB$12</c:f>
              <c:strCache>
                <c:ptCount val="1"/>
                <c:pt idx="0">
                  <c:v>Desembolso mês</c:v>
                </c:pt>
              </c:strCache>
            </c:strRef>
          </c:tx>
          <c:spPr>
            <a:solidFill>
              <a:srgbClr val="002060"/>
            </a:solidFill>
            <a:ln>
              <a:noFill/>
            </a:ln>
            <a:effectLst/>
          </c:spPr>
          <c:invertIfNegative val="0"/>
          <c:dLbls>
            <c:dLbl>
              <c:idx val="0"/>
              <c:layout>
                <c:manualLayout>
                  <c:x val="-7.0799846919249912E-2"/>
                  <c:y val="4.94559841740850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6C-40C1-99CE-C605482CA477}"/>
                </c:ext>
              </c:extLst>
            </c:dLbl>
            <c:numFmt formatCode="&quot;R$&quot;\ #,##0" sourceLinked="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ysClr val="windowText" lastClr="0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'Cálc economia (25%)'!$AC$8:$AH$8</c:f>
              <c:strCache>
                <c:ptCount val="6"/>
                <c:pt idx="0">
                  <c:v>MÊS 01</c:v>
                </c:pt>
                <c:pt idx="1">
                  <c:v>MÊS 02</c:v>
                </c:pt>
                <c:pt idx="2">
                  <c:v>MÊS 03</c:v>
                </c:pt>
                <c:pt idx="3">
                  <c:v>MÊS 04</c:v>
                </c:pt>
                <c:pt idx="4">
                  <c:v>MÊS 05</c:v>
                </c:pt>
                <c:pt idx="5">
                  <c:v>MÊS 06</c:v>
                </c:pt>
              </c:strCache>
            </c:strRef>
          </c:cat>
          <c:val>
            <c:numRef>
              <c:f>'Cálc economia (25%)'!$AC$12:$AH$12</c:f>
              <c:numCache>
                <c:formatCode>_("R$"* #,##0.00_);_("R$"* \(#,##0.00\);_("R$"*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E76C-40C1-99CE-C605482CA477}"/>
            </c:ext>
          </c:extLst>
        </c:ser>
        <c:ser>
          <c:idx val="3"/>
          <c:order val="3"/>
          <c:tx>
            <c:strRef>
              <c:f>'Cálc economia (25%)'!$AB$14</c:f>
              <c:strCache>
                <c:ptCount val="1"/>
                <c:pt idx="0">
                  <c:v>Custo sem Isol/mês</c:v>
                </c:pt>
              </c:strCache>
            </c:strRef>
          </c:tx>
          <c:spPr>
            <a:solidFill>
              <a:srgbClr val="C00000"/>
            </a:solidFill>
            <a:ln>
              <a:noFill/>
            </a:ln>
            <a:effectLst/>
          </c:spPr>
          <c:invertIfNegative val="0"/>
          <c:dLbls>
            <c:dLbl>
              <c:idx val="1"/>
              <c:layout>
                <c:manualLayout>
                  <c:x val="3.7780712294193136E-2"/>
                  <c:y val="-9.84340079421518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76C-40C1-99CE-C605482CA477}"/>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FF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'Cálc economia (25%)'!$AC$14:$AH$14</c:f>
              <c:numCache>
                <c:formatCode>_("R$"* #,##0.00_);_("R$"* \(#,##0.00\);_("R$"* "-"??_);_(@_)</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E76C-40C1-99CE-C605482CA477}"/>
            </c:ext>
          </c:extLst>
        </c:ser>
        <c:dLbls>
          <c:showLegendKey val="0"/>
          <c:showVal val="0"/>
          <c:showCatName val="0"/>
          <c:showSerName val="0"/>
          <c:showPercent val="0"/>
          <c:showBubbleSize val="0"/>
        </c:dLbls>
        <c:gapWidth val="150"/>
        <c:axId val="638151088"/>
        <c:axId val="638146168"/>
      </c:barChart>
      <c:lineChart>
        <c:grouping val="standard"/>
        <c:varyColors val="0"/>
        <c:ser>
          <c:idx val="0"/>
          <c:order val="0"/>
          <c:tx>
            <c:strRef>
              <c:f>'Cálc economia (25%)'!$AB$13</c:f>
              <c:strCache>
                <c:ptCount val="1"/>
                <c:pt idx="0">
                  <c:v>Desembolso acum</c:v>
                </c:pt>
              </c:strCache>
            </c:strRef>
          </c:tx>
          <c:spPr>
            <a:ln w="25400" cap="rnd">
              <a:solidFill>
                <a:schemeClr val="accent1"/>
              </a:solidFill>
              <a:round/>
            </a:ln>
            <a:effectLst/>
          </c:spPr>
          <c:marker>
            <c:symbol val="circle"/>
            <c:size val="4"/>
            <c:spPr>
              <a:solidFill>
                <a:srgbClr val="0070C0"/>
              </a:solidFill>
              <a:ln w="9525">
                <a:noFill/>
              </a:ln>
              <a:effectLst/>
            </c:spPr>
          </c:marker>
          <c:dLbls>
            <c:dLbl>
              <c:idx val="5"/>
              <c:layout>
                <c:manualLayout>
                  <c:x val="-5.7860076812432486E-2"/>
                  <c:y val="-2.37976125467538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76C-40C1-99CE-C605482CA477}"/>
                </c:ext>
              </c:extLst>
            </c:dLbl>
            <c:numFmt formatCode="&quot;R$&quot;\ #,##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002060"/>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'Cálc economia (25%)'!$AC$13:$AH$13</c:f>
              <c:numCache>
                <c:formatCode>_("R$"* #,##0.00_);_("R$"* \(#,##0.00\);_("R$"* "-"??_);_(@_)</c:formatCode>
                <c:ptCount val="6"/>
                <c:pt idx="0">
                  <c:v>0</c:v>
                </c:pt>
                <c:pt idx="1">
                  <c:v>0</c:v>
                </c:pt>
                <c:pt idx="2">
                  <c:v>0</c:v>
                </c:pt>
                <c:pt idx="3">
                  <c:v>0</c:v>
                </c:pt>
                <c:pt idx="4">
                  <c:v>0</c:v>
                </c:pt>
                <c:pt idx="5">
                  <c:v>0</c:v>
                </c:pt>
              </c:numCache>
            </c:numRef>
          </c:val>
          <c:smooth val="1"/>
          <c:extLst>
            <c:ext xmlns:c16="http://schemas.microsoft.com/office/drawing/2014/chart" uri="{C3380CC4-5D6E-409C-BE32-E72D297353CC}">
              <c16:uniqueId val="{00000005-E76C-40C1-99CE-C605482CA477}"/>
            </c:ext>
          </c:extLst>
        </c:ser>
        <c:dLbls>
          <c:showLegendKey val="0"/>
          <c:showVal val="1"/>
          <c:showCatName val="0"/>
          <c:showSerName val="0"/>
          <c:showPercent val="0"/>
          <c:showBubbleSize val="0"/>
        </c:dLbls>
        <c:marker val="1"/>
        <c:smooth val="0"/>
        <c:axId val="638151088"/>
        <c:axId val="638146168"/>
      </c:lineChart>
      <c:catAx>
        <c:axId val="6381510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638146168"/>
        <c:crosses val="autoZero"/>
        <c:auto val="1"/>
        <c:lblAlgn val="ctr"/>
        <c:lblOffset val="100"/>
        <c:noMultiLvlLbl val="0"/>
      </c:catAx>
      <c:valAx>
        <c:axId val="638146168"/>
        <c:scaling>
          <c:orientation val="minMax"/>
        </c:scaling>
        <c:delete val="1"/>
        <c:axPos val="l"/>
        <c:numFmt formatCode="&quot;R$&quot;\ #,##0" sourceLinked="0"/>
        <c:majorTickMark val="out"/>
        <c:minorTickMark val="none"/>
        <c:tickLblPos val="nextTo"/>
        <c:crossAx val="638151088"/>
        <c:crosses val="autoZero"/>
        <c:crossBetween val="between"/>
      </c:valAx>
      <c:spPr>
        <a:noFill/>
        <a:ln>
          <a:noFill/>
        </a:ln>
        <a:effectLst/>
      </c:spPr>
    </c:plotArea>
    <c:legend>
      <c:legendPos val="b"/>
      <c:legendEntry>
        <c:idx val="0"/>
        <c:delete val="1"/>
      </c:legendEntry>
      <c:layout>
        <c:manualLayout>
          <c:xMode val="edge"/>
          <c:yMode val="edge"/>
          <c:x val="0.18458531666592523"/>
          <c:y val="0.84872054583781054"/>
          <c:w val="0.71683808591722642"/>
          <c:h val="7.1945075657489116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HISTOGRAMA!$E$10:$CP$10</c:f>
              <c:numCache>
                <c:formatCode>d\-mmm</c:formatCode>
                <c:ptCount val="90"/>
                <c:pt idx="0">
                  <c:v>45670</c:v>
                </c:pt>
                <c:pt idx="1">
                  <c:v>45671</c:v>
                </c:pt>
                <c:pt idx="2">
                  <c:v>45672</c:v>
                </c:pt>
                <c:pt idx="3">
                  <c:v>45673</c:v>
                </c:pt>
                <c:pt idx="4">
                  <c:v>45674</c:v>
                </c:pt>
                <c:pt idx="5">
                  <c:v>45675</c:v>
                </c:pt>
                <c:pt idx="6">
                  <c:v>45676</c:v>
                </c:pt>
                <c:pt idx="7">
                  <c:v>45677</c:v>
                </c:pt>
                <c:pt idx="8">
                  <c:v>45678</c:v>
                </c:pt>
                <c:pt idx="9">
                  <c:v>45679</c:v>
                </c:pt>
                <c:pt idx="10">
                  <c:v>45680</c:v>
                </c:pt>
                <c:pt idx="11">
                  <c:v>45681</c:v>
                </c:pt>
                <c:pt idx="12">
                  <c:v>45682</c:v>
                </c:pt>
                <c:pt idx="13">
                  <c:v>45683</c:v>
                </c:pt>
                <c:pt idx="14">
                  <c:v>45684</c:v>
                </c:pt>
                <c:pt idx="15">
                  <c:v>45685</c:v>
                </c:pt>
                <c:pt idx="16">
                  <c:v>45686</c:v>
                </c:pt>
                <c:pt idx="17">
                  <c:v>45687</c:v>
                </c:pt>
                <c:pt idx="18">
                  <c:v>45688</c:v>
                </c:pt>
                <c:pt idx="19">
                  <c:v>45689</c:v>
                </c:pt>
                <c:pt idx="20">
                  <c:v>45690</c:v>
                </c:pt>
                <c:pt idx="21">
                  <c:v>45691</c:v>
                </c:pt>
                <c:pt idx="22">
                  <c:v>45692</c:v>
                </c:pt>
                <c:pt idx="23">
                  <c:v>45693</c:v>
                </c:pt>
                <c:pt idx="24">
                  <c:v>45694</c:v>
                </c:pt>
                <c:pt idx="25">
                  <c:v>45695</c:v>
                </c:pt>
                <c:pt idx="26">
                  <c:v>45696</c:v>
                </c:pt>
                <c:pt idx="27">
                  <c:v>45697</c:v>
                </c:pt>
                <c:pt idx="28">
                  <c:v>45698</c:v>
                </c:pt>
                <c:pt idx="29">
                  <c:v>45699</c:v>
                </c:pt>
                <c:pt idx="30">
                  <c:v>45700</c:v>
                </c:pt>
                <c:pt idx="31">
                  <c:v>45701</c:v>
                </c:pt>
                <c:pt idx="32">
                  <c:v>45702</c:v>
                </c:pt>
                <c:pt idx="33">
                  <c:v>45703</c:v>
                </c:pt>
                <c:pt idx="34">
                  <c:v>45704</c:v>
                </c:pt>
                <c:pt idx="35">
                  <c:v>45705</c:v>
                </c:pt>
                <c:pt idx="36">
                  <c:v>45706</c:v>
                </c:pt>
                <c:pt idx="37">
                  <c:v>45707</c:v>
                </c:pt>
                <c:pt idx="38">
                  <c:v>45708</c:v>
                </c:pt>
                <c:pt idx="39">
                  <c:v>45709</c:v>
                </c:pt>
                <c:pt idx="40">
                  <c:v>45710</c:v>
                </c:pt>
                <c:pt idx="41">
                  <c:v>45711</c:v>
                </c:pt>
                <c:pt idx="42">
                  <c:v>45712</c:v>
                </c:pt>
                <c:pt idx="43">
                  <c:v>45713</c:v>
                </c:pt>
                <c:pt idx="44">
                  <c:v>45714</c:v>
                </c:pt>
                <c:pt idx="45">
                  <c:v>45715</c:v>
                </c:pt>
                <c:pt idx="46">
                  <c:v>45716</c:v>
                </c:pt>
                <c:pt idx="47">
                  <c:v>45717</c:v>
                </c:pt>
                <c:pt idx="48">
                  <c:v>45718</c:v>
                </c:pt>
                <c:pt idx="49">
                  <c:v>45719</c:v>
                </c:pt>
                <c:pt idx="50">
                  <c:v>45720</c:v>
                </c:pt>
                <c:pt idx="51">
                  <c:v>45721</c:v>
                </c:pt>
                <c:pt idx="52">
                  <c:v>45722</c:v>
                </c:pt>
                <c:pt idx="53">
                  <c:v>45723</c:v>
                </c:pt>
                <c:pt idx="54">
                  <c:v>45724</c:v>
                </c:pt>
                <c:pt idx="55">
                  <c:v>45725</c:v>
                </c:pt>
                <c:pt idx="56">
                  <c:v>45726</c:v>
                </c:pt>
                <c:pt idx="57">
                  <c:v>45727</c:v>
                </c:pt>
                <c:pt idx="58">
                  <c:v>45728</c:v>
                </c:pt>
                <c:pt idx="59">
                  <c:v>45729</c:v>
                </c:pt>
                <c:pt idx="60">
                  <c:v>45730</c:v>
                </c:pt>
                <c:pt idx="61">
                  <c:v>45731</c:v>
                </c:pt>
                <c:pt idx="62">
                  <c:v>45732</c:v>
                </c:pt>
                <c:pt idx="63">
                  <c:v>45733</c:v>
                </c:pt>
                <c:pt idx="64">
                  <c:v>45734</c:v>
                </c:pt>
                <c:pt idx="65">
                  <c:v>45735</c:v>
                </c:pt>
                <c:pt idx="66">
                  <c:v>45736</c:v>
                </c:pt>
                <c:pt idx="67">
                  <c:v>45737</c:v>
                </c:pt>
                <c:pt idx="68">
                  <c:v>45738</c:v>
                </c:pt>
                <c:pt idx="69">
                  <c:v>45739</c:v>
                </c:pt>
                <c:pt idx="70">
                  <c:v>45740</c:v>
                </c:pt>
                <c:pt idx="71">
                  <c:v>45741</c:v>
                </c:pt>
                <c:pt idx="72">
                  <c:v>45742</c:v>
                </c:pt>
                <c:pt idx="73">
                  <c:v>45743</c:v>
                </c:pt>
                <c:pt idx="74">
                  <c:v>45744</c:v>
                </c:pt>
                <c:pt idx="75">
                  <c:v>45745</c:v>
                </c:pt>
                <c:pt idx="76">
                  <c:v>45746</c:v>
                </c:pt>
                <c:pt idx="77">
                  <c:v>45747</c:v>
                </c:pt>
                <c:pt idx="78">
                  <c:v>45748</c:v>
                </c:pt>
                <c:pt idx="79">
                  <c:v>45749</c:v>
                </c:pt>
                <c:pt idx="80">
                  <c:v>45750</c:v>
                </c:pt>
                <c:pt idx="81">
                  <c:v>45751</c:v>
                </c:pt>
                <c:pt idx="82">
                  <c:v>45752</c:v>
                </c:pt>
                <c:pt idx="83">
                  <c:v>45753</c:v>
                </c:pt>
                <c:pt idx="84">
                  <c:v>45754</c:v>
                </c:pt>
                <c:pt idx="85">
                  <c:v>45755</c:v>
                </c:pt>
                <c:pt idx="86">
                  <c:v>45756</c:v>
                </c:pt>
                <c:pt idx="87">
                  <c:v>45757</c:v>
                </c:pt>
                <c:pt idx="88">
                  <c:v>45758</c:v>
                </c:pt>
                <c:pt idx="89">
                  <c:v>45759</c:v>
                </c:pt>
              </c:numCache>
            </c:numRef>
          </c:cat>
          <c:val>
            <c:numRef>
              <c:f>HISTOGRAMA!$E$32:$CP$32</c:f>
              <c:numCache>
                <c:formatCode>0</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numCache>
            </c:numRef>
          </c:val>
          <c:extLst>
            <c:ext xmlns:c16="http://schemas.microsoft.com/office/drawing/2014/chart" uri="{C3380CC4-5D6E-409C-BE32-E72D297353CC}">
              <c16:uniqueId val="{00000000-9457-438B-95B1-1328BB5B7D61}"/>
            </c:ext>
          </c:extLst>
        </c:ser>
        <c:dLbls>
          <c:showLegendKey val="0"/>
          <c:showVal val="0"/>
          <c:showCatName val="0"/>
          <c:showSerName val="0"/>
          <c:showPercent val="0"/>
          <c:showBubbleSize val="0"/>
        </c:dLbls>
        <c:gapWidth val="219"/>
        <c:overlap val="-27"/>
        <c:axId val="811311336"/>
        <c:axId val="811310616"/>
      </c:barChart>
      <c:dateAx>
        <c:axId val="811311336"/>
        <c:scaling>
          <c:orientation val="minMax"/>
        </c:scaling>
        <c:delete val="0"/>
        <c:axPos val="b"/>
        <c:numFmt formatCode="d\-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pt-BR"/>
          </a:p>
        </c:txPr>
        <c:crossAx val="811310616"/>
        <c:crosses val="autoZero"/>
        <c:auto val="1"/>
        <c:lblOffset val="100"/>
        <c:baseTimeUnit val="days"/>
      </c:dateAx>
      <c:valAx>
        <c:axId val="8113106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811311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pt-BR" b="1">
                <a:solidFill>
                  <a:srgbClr val="002060"/>
                </a:solidFill>
              </a:rPr>
              <a:t>LINHA</a:t>
            </a:r>
            <a:r>
              <a:rPr lang="pt-BR" b="1" baseline="0">
                <a:solidFill>
                  <a:srgbClr val="002060"/>
                </a:solidFill>
              </a:rPr>
              <a:t> DE MS  </a:t>
            </a:r>
            <a:endParaRPr lang="pt-BR" b="1">
              <a:solidFill>
                <a:srgbClr val="00206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pt-BR"/>
        </a:p>
      </c:txPr>
    </c:title>
    <c:autoTitleDeleted val="0"/>
    <c:plotArea>
      <c:layout>
        <c:manualLayout>
          <c:layoutTarget val="inner"/>
          <c:xMode val="edge"/>
          <c:yMode val="edge"/>
          <c:x val="2.063983488132095E-2"/>
          <c:y val="9.7116046173839926E-2"/>
          <c:w val="0.96216030271757824"/>
          <c:h val="0.69488762327039222"/>
        </c:manualLayout>
      </c:layout>
      <c:lineChart>
        <c:grouping val="standard"/>
        <c:varyColors val="0"/>
        <c:ser>
          <c:idx val="1"/>
          <c:order val="0"/>
          <c:tx>
            <c:strRef>
              <c:f>'Cálc economia (cheio)'!$D$24</c:f>
              <c:strCache>
                <c:ptCount val="1"/>
                <c:pt idx="0">
                  <c:v>PERDA (Kcal/h*m²) - sem isol</c:v>
                </c:pt>
              </c:strCache>
            </c:strRef>
          </c:tx>
          <c:spPr>
            <a:ln w="19050" cap="rnd">
              <a:solidFill>
                <a:srgbClr val="FF0000"/>
              </a:solidFill>
              <a:round/>
            </a:ln>
            <a:effectLst/>
          </c:spPr>
          <c:marker>
            <c:symbol val="circle"/>
            <c:size val="4"/>
            <c:spPr>
              <a:solidFill>
                <a:srgbClr val="FF0000"/>
              </a:solidFill>
              <a:ln w="9525">
                <a:noFill/>
              </a:ln>
              <a:effectLst/>
            </c:spPr>
          </c:marker>
          <c:dLbls>
            <c:dLbl>
              <c:idx val="1"/>
              <c:layout>
                <c:manualLayout>
                  <c:x val="1.4681348014681348E-3"/>
                  <c:y val="-4.16320355788859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11-4CA1-8FA2-544516FB69FD}"/>
                </c:ext>
              </c:extLst>
            </c:dLbl>
            <c:dLbl>
              <c:idx val="4"/>
              <c:layout>
                <c:manualLayout>
                  <c:x val="-3.6987462463501375E-2"/>
                  <c:y val="-7.27852738067935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11-4CA1-8FA2-544516FB69FD}"/>
                </c:ext>
              </c:extLst>
            </c:dLbl>
            <c:dLbl>
              <c:idx val="6"/>
              <c:layout>
                <c:manualLayout>
                  <c:x val="-3.1539307806207985E-2"/>
                  <c:y val="-0.1253742705705476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D11-4CA1-8FA2-544516FB69F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'Cálc economia (cheio)'!$B$25:$B$32</c:f>
              <c:strCache>
                <c:ptCount val="8"/>
                <c:pt idx="0">
                  <c:v>3"</c:v>
                </c:pt>
                <c:pt idx="1">
                  <c:v>6"</c:v>
                </c:pt>
                <c:pt idx="2">
                  <c:v>10"</c:v>
                </c:pt>
                <c:pt idx="3">
                  <c:v>12"</c:v>
                </c:pt>
                <c:pt idx="4">
                  <c:v>14"</c:v>
                </c:pt>
                <c:pt idx="5">
                  <c:v>16"</c:v>
                </c:pt>
                <c:pt idx="6">
                  <c:v>18"</c:v>
                </c:pt>
                <c:pt idx="7">
                  <c:v>20"</c:v>
                </c:pt>
              </c:strCache>
            </c:strRef>
          </c:cat>
          <c:val>
            <c:numRef>
              <c:f>'Cálc economia (cheio)'!$D$25:$D$32</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3-3D11-4CA1-8FA2-544516FB69FD}"/>
            </c:ext>
          </c:extLst>
        </c:ser>
        <c:ser>
          <c:idx val="2"/>
          <c:order val="1"/>
          <c:tx>
            <c:strRef>
              <c:f>'Cálc economia (cheio)'!$P$24</c:f>
              <c:strCache>
                <c:ptCount val="1"/>
                <c:pt idx="0">
                  <c:v>PERDA (Kcal/h*m²) - com isol</c:v>
                </c:pt>
              </c:strCache>
            </c:strRef>
          </c:tx>
          <c:spPr>
            <a:ln w="19050" cap="rnd">
              <a:solidFill>
                <a:srgbClr val="002060"/>
              </a:solidFill>
              <a:round/>
            </a:ln>
            <a:effectLst/>
          </c:spPr>
          <c:marker>
            <c:symbol val="circle"/>
            <c:size val="4"/>
            <c:spPr>
              <a:solidFill>
                <a:srgbClr val="002060"/>
              </a:solidFill>
              <a:ln w="9525">
                <a:noFill/>
              </a:ln>
              <a:effectLst/>
            </c:spPr>
          </c:marker>
          <c:dLbls>
            <c:dLbl>
              <c:idx val="1"/>
              <c:layout>
                <c:manualLayout>
                  <c:x val="-2.6735558538486758E-2"/>
                  <c:y val="-3.23321993731366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D11-4CA1-8FA2-544516FB69F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'Cálc economia (cheio)'!$B$25:$B$32</c:f>
              <c:strCache>
                <c:ptCount val="8"/>
                <c:pt idx="0">
                  <c:v>3"</c:v>
                </c:pt>
                <c:pt idx="1">
                  <c:v>6"</c:v>
                </c:pt>
                <c:pt idx="2">
                  <c:v>10"</c:v>
                </c:pt>
                <c:pt idx="3">
                  <c:v>12"</c:v>
                </c:pt>
                <c:pt idx="4">
                  <c:v>14"</c:v>
                </c:pt>
                <c:pt idx="5">
                  <c:v>16"</c:v>
                </c:pt>
                <c:pt idx="6">
                  <c:v>18"</c:v>
                </c:pt>
                <c:pt idx="7">
                  <c:v>20"</c:v>
                </c:pt>
              </c:strCache>
            </c:strRef>
          </c:cat>
          <c:val>
            <c:numRef>
              <c:f>'Cálc economia (cheio)'!$P$25:$P$32</c:f>
              <c:numCache>
                <c:formatCode>0</c:formatCode>
                <c:ptCount val="8"/>
                <c:pt idx="0">
                  <c:v>0</c:v>
                </c:pt>
                <c:pt idx="1">
                  <c:v>0</c:v>
                </c:pt>
                <c:pt idx="2">
                  <c:v>0</c:v>
                </c:pt>
                <c:pt idx="3">
                  <c:v>0</c:v>
                </c:pt>
                <c:pt idx="4">
                  <c:v>0</c:v>
                </c:pt>
                <c:pt idx="5">
                  <c:v>0</c:v>
                </c:pt>
                <c:pt idx="6">
                  <c:v>0</c:v>
                </c:pt>
                <c:pt idx="7">
                  <c:v>0</c:v>
                </c:pt>
              </c:numCache>
            </c:numRef>
          </c:val>
          <c:smooth val="0"/>
          <c:extLst>
            <c:ext xmlns:c16="http://schemas.microsoft.com/office/drawing/2014/chart" uri="{C3380CC4-5D6E-409C-BE32-E72D297353CC}">
              <c16:uniqueId val="{00000005-3D11-4CA1-8FA2-544516FB69FD}"/>
            </c:ext>
          </c:extLst>
        </c:ser>
        <c:dLbls>
          <c:showLegendKey val="0"/>
          <c:showVal val="0"/>
          <c:showCatName val="0"/>
          <c:showSerName val="0"/>
          <c:showPercent val="0"/>
          <c:showBubbleSize val="0"/>
        </c:dLbls>
        <c:marker val="1"/>
        <c:smooth val="0"/>
        <c:axId val="511178400"/>
        <c:axId val="511180368"/>
      </c:lineChart>
      <c:catAx>
        <c:axId val="511178400"/>
        <c:scaling>
          <c:orientation val="minMax"/>
        </c:scaling>
        <c:delete val="0"/>
        <c:axPos val="b"/>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rgbClr val="002060"/>
                </a:solidFill>
                <a:latin typeface="+mn-lt"/>
                <a:ea typeface="+mn-ea"/>
                <a:cs typeface="+mn-cs"/>
              </a:defRPr>
            </a:pPr>
            <a:endParaRPr lang="pt-BR"/>
          </a:p>
        </c:txPr>
        <c:crossAx val="511180368"/>
        <c:crosses val="autoZero"/>
        <c:auto val="0"/>
        <c:lblAlgn val="ctr"/>
        <c:lblOffset val="0"/>
        <c:tickMarkSkip val="1"/>
        <c:noMultiLvlLbl val="0"/>
      </c:catAx>
      <c:valAx>
        <c:axId val="511180368"/>
        <c:scaling>
          <c:orientation val="minMax"/>
        </c:scaling>
        <c:delete val="1"/>
        <c:axPos val="l"/>
        <c:numFmt formatCode="0" sourceLinked="1"/>
        <c:majorTickMark val="out"/>
        <c:minorTickMark val="none"/>
        <c:tickLblPos val="nextTo"/>
        <c:crossAx val="511178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r>
              <a:rPr lang="pt-BR" b="1">
                <a:solidFill>
                  <a:srgbClr val="002060"/>
                </a:solidFill>
              </a:rPr>
              <a:t>LINHA</a:t>
            </a:r>
            <a:r>
              <a:rPr lang="pt-BR" b="1" baseline="0">
                <a:solidFill>
                  <a:srgbClr val="002060"/>
                </a:solidFill>
              </a:rPr>
              <a:t> DE SS  </a:t>
            </a:r>
            <a:endParaRPr lang="pt-BR" b="1">
              <a:solidFill>
                <a:srgbClr val="002060"/>
              </a:solidFill>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002060"/>
              </a:solidFill>
              <a:latin typeface="+mn-lt"/>
              <a:ea typeface="+mn-ea"/>
              <a:cs typeface="+mn-cs"/>
            </a:defRPr>
          </a:pPr>
          <a:endParaRPr lang="pt-BR"/>
        </a:p>
      </c:txPr>
    </c:title>
    <c:autoTitleDeleted val="0"/>
    <c:plotArea>
      <c:layout>
        <c:manualLayout>
          <c:layoutTarget val="inner"/>
          <c:xMode val="edge"/>
          <c:yMode val="edge"/>
          <c:x val="2.063983488132095E-2"/>
          <c:y val="9.7116046173839926E-2"/>
          <c:w val="0.96216030271757824"/>
          <c:h val="0.69488762327039222"/>
        </c:manualLayout>
      </c:layout>
      <c:lineChart>
        <c:grouping val="standard"/>
        <c:varyColors val="0"/>
        <c:ser>
          <c:idx val="1"/>
          <c:order val="0"/>
          <c:tx>
            <c:strRef>
              <c:f>'Cálc economia (cheio)'!$D$35</c:f>
              <c:strCache>
                <c:ptCount val="1"/>
                <c:pt idx="0">
                  <c:v>PERDA (Kcal/h*m²) - sem isol</c:v>
                </c:pt>
              </c:strCache>
            </c:strRef>
          </c:tx>
          <c:spPr>
            <a:ln w="19050" cap="rnd">
              <a:solidFill>
                <a:srgbClr val="FF0000"/>
              </a:solidFill>
              <a:round/>
            </a:ln>
            <a:effectLst/>
          </c:spPr>
          <c:marker>
            <c:symbol val="circle"/>
            <c:size val="4"/>
            <c:spPr>
              <a:solidFill>
                <a:srgbClr val="FF0000"/>
              </a:solidFill>
              <a:ln w="9525">
                <a:noFill/>
              </a:ln>
              <a:effectLst/>
            </c:spPr>
          </c:marker>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0000"/>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'Cálc economia (cheio)'!$B$36:$B$40</c:f>
              <c:strCache>
                <c:ptCount val="5"/>
                <c:pt idx="0">
                  <c:v>6"</c:v>
                </c:pt>
                <c:pt idx="1">
                  <c:v>8"</c:v>
                </c:pt>
                <c:pt idx="2">
                  <c:v>10"</c:v>
                </c:pt>
                <c:pt idx="3">
                  <c:v>12"</c:v>
                </c:pt>
                <c:pt idx="4">
                  <c:v>18"</c:v>
                </c:pt>
              </c:strCache>
            </c:strRef>
          </c:cat>
          <c:val>
            <c:numRef>
              <c:f>'Cálc economia (cheio)'!$D$36:$D$40</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0-2367-4777-8DCA-C1349050D3C2}"/>
            </c:ext>
          </c:extLst>
        </c:ser>
        <c:ser>
          <c:idx val="2"/>
          <c:order val="1"/>
          <c:tx>
            <c:strRef>
              <c:f>'Cálc economia (cheio)'!$P$35</c:f>
              <c:strCache>
                <c:ptCount val="1"/>
                <c:pt idx="0">
                  <c:v>PERDA (Kcal/h*m²) - com isol</c:v>
                </c:pt>
              </c:strCache>
            </c:strRef>
          </c:tx>
          <c:spPr>
            <a:ln w="19050" cap="rnd">
              <a:solidFill>
                <a:srgbClr val="002060"/>
              </a:solidFill>
              <a:round/>
            </a:ln>
            <a:effectLst/>
          </c:spPr>
          <c:marker>
            <c:symbol val="circle"/>
            <c:size val="4"/>
            <c:spPr>
              <a:solidFill>
                <a:srgbClr val="00206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'Cálc economia (cheio)'!$B$36:$B$40</c:f>
              <c:strCache>
                <c:ptCount val="5"/>
                <c:pt idx="0">
                  <c:v>6"</c:v>
                </c:pt>
                <c:pt idx="1">
                  <c:v>8"</c:v>
                </c:pt>
                <c:pt idx="2">
                  <c:v>10"</c:v>
                </c:pt>
                <c:pt idx="3">
                  <c:v>12"</c:v>
                </c:pt>
                <c:pt idx="4">
                  <c:v>18"</c:v>
                </c:pt>
              </c:strCache>
            </c:strRef>
          </c:cat>
          <c:val>
            <c:numRef>
              <c:f>'Cálc economia (cheio)'!$P$36:$P$40</c:f>
              <c:numCache>
                <c:formatCode>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367-4777-8DCA-C1349050D3C2}"/>
            </c:ext>
          </c:extLst>
        </c:ser>
        <c:dLbls>
          <c:showLegendKey val="0"/>
          <c:showVal val="0"/>
          <c:showCatName val="0"/>
          <c:showSerName val="0"/>
          <c:showPercent val="0"/>
          <c:showBubbleSize val="0"/>
        </c:dLbls>
        <c:marker val="1"/>
        <c:smooth val="0"/>
        <c:axId val="511178400"/>
        <c:axId val="511180368"/>
      </c:lineChart>
      <c:catAx>
        <c:axId val="511178400"/>
        <c:scaling>
          <c:orientation val="minMax"/>
        </c:scaling>
        <c:delete val="0"/>
        <c:axPos val="b"/>
        <c:numFmt formatCode="General" sourceLinked="1"/>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50" b="0" i="0" u="none" strike="noStrike" kern="1200" baseline="0">
                <a:solidFill>
                  <a:srgbClr val="002060"/>
                </a:solidFill>
                <a:latin typeface="+mn-lt"/>
                <a:ea typeface="+mn-ea"/>
                <a:cs typeface="+mn-cs"/>
              </a:defRPr>
            </a:pPr>
            <a:endParaRPr lang="pt-BR"/>
          </a:p>
        </c:txPr>
        <c:crossAx val="511180368"/>
        <c:crosses val="autoZero"/>
        <c:auto val="0"/>
        <c:lblAlgn val="ctr"/>
        <c:lblOffset val="0"/>
        <c:tickMarkSkip val="1"/>
        <c:noMultiLvlLbl val="0"/>
      </c:catAx>
      <c:valAx>
        <c:axId val="511180368"/>
        <c:scaling>
          <c:orientation val="minMax"/>
        </c:scaling>
        <c:delete val="1"/>
        <c:axPos val="l"/>
        <c:numFmt formatCode="0" sourceLinked="1"/>
        <c:majorTickMark val="out"/>
        <c:minorTickMark val="none"/>
        <c:tickLblPos val="nextTo"/>
        <c:crossAx val="511178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2099447513812154E-2"/>
          <c:y val="5.3003533568904596E-2"/>
          <c:w val="0.95948434622467771"/>
          <c:h val="0.66387876427107384"/>
        </c:manualLayout>
      </c:layout>
      <c:barChart>
        <c:barDir val="col"/>
        <c:grouping val="clustered"/>
        <c:varyColors val="0"/>
        <c:ser>
          <c:idx val="1"/>
          <c:order val="1"/>
          <c:tx>
            <c:strRef>
              <c:f>'Cálc economia (cheio)'!$AB$8</c:f>
              <c:strCache>
                <c:ptCount val="1"/>
                <c:pt idx="0">
                  <c:v>MÊS</c:v>
                </c:pt>
              </c:strCache>
            </c:strRef>
          </c:tx>
          <c:spPr>
            <a:solidFill>
              <a:schemeClr val="accent2"/>
            </a:solidFill>
            <a:ln>
              <a:noFill/>
            </a:ln>
            <a:effectLst/>
          </c:spPr>
          <c:invertIfNegative val="0"/>
          <c:cat>
            <c:strRef>
              <c:f>'Cálc economia (cheio)'!$AC$8:$AH$8</c:f>
              <c:strCache>
                <c:ptCount val="6"/>
                <c:pt idx="0">
                  <c:v>MÊS 01</c:v>
                </c:pt>
                <c:pt idx="1">
                  <c:v>MÊS 02</c:v>
                </c:pt>
                <c:pt idx="2">
                  <c:v>MÊS 03</c:v>
                </c:pt>
                <c:pt idx="3">
                  <c:v>MÊS 04</c:v>
                </c:pt>
                <c:pt idx="4">
                  <c:v>MÊS 05</c:v>
                </c:pt>
                <c:pt idx="5">
                  <c:v>MÊS 06</c:v>
                </c:pt>
              </c:strCache>
            </c:strRef>
          </c:cat>
          <c:val>
            <c:numRef>
              <c:f>'Cálc economia (cheio)'!$AC$8:$AH$8</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67B1-407D-9056-366260E59F38}"/>
            </c:ext>
          </c:extLst>
        </c:ser>
        <c:ser>
          <c:idx val="2"/>
          <c:order val="2"/>
          <c:tx>
            <c:strRef>
              <c:f>'Cálc economia (cheio)'!$AB$10</c:f>
              <c:strCache>
                <c:ptCount val="1"/>
                <c:pt idx="0">
                  <c:v>Prev.</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C00000"/>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'Cálc economia (cheio)'!$AC$8:$AH$8</c:f>
              <c:strCache>
                <c:ptCount val="6"/>
                <c:pt idx="0">
                  <c:v>MÊS 01</c:v>
                </c:pt>
                <c:pt idx="1">
                  <c:v>MÊS 02</c:v>
                </c:pt>
                <c:pt idx="2">
                  <c:v>MÊS 03</c:v>
                </c:pt>
                <c:pt idx="3">
                  <c:v>MÊS 04</c:v>
                </c:pt>
                <c:pt idx="4">
                  <c:v>MÊS 05</c:v>
                </c:pt>
                <c:pt idx="5">
                  <c:v>MÊS 06</c:v>
                </c:pt>
              </c:strCache>
            </c:strRef>
          </c:cat>
          <c:val>
            <c:numRef>
              <c:f>'Cálc economia (cheio)'!$AC$10:$AH$10</c:f>
              <c:numCache>
                <c:formatCode>General</c:formatCode>
                <c:ptCount val="6"/>
                <c:pt idx="0">
                  <c:v>112.90284456000001</c:v>
                </c:pt>
                <c:pt idx="1">
                  <c:v>169.35426683999998</c:v>
                </c:pt>
                <c:pt idx="2">
                  <c:v>225.80568912000001</c:v>
                </c:pt>
                <c:pt idx="3">
                  <c:v>225.80568912000001</c:v>
                </c:pt>
                <c:pt idx="4">
                  <c:v>169.35426683999998</c:v>
                </c:pt>
                <c:pt idx="5">
                  <c:v>141.12855569999999</c:v>
                </c:pt>
              </c:numCache>
            </c:numRef>
          </c:val>
          <c:extLst>
            <c:ext xmlns:c16="http://schemas.microsoft.com/office/drawing/2014/chart" uri="{C3380CC4-5D6E-409C-BE32-E72D297353CC}">
              <c16:uniqueId val="{00000001-67B1-407D-9056-366260E59F38}"/>
            </c:ext>
          </c:extLst>
        </c:ser>
        <c:dLbls>
          <c:showLegendKey val="0"/>
          <c:showVal val="0"/>
          <c:showCatName val="0"/>
          <c:showSerName val="0"/>
          <c:showPercent val="0"/>
          <c:showBubbleSize val="0"/>
        </c:dLbls>
        <c:gapWidth val="219"/>
        <c:axId val="638151088"/>
        <c:axId val="638146168"/>
      </c:barChart>
      <c:lineChart>
        <c:grouping val="standard"/>
        <c:varyColors val="0"/>
        <c:ser>
          <c:idx val="0"/>
          <c:order val="0"/>
          <c:tx>
            <c:strRef>
              <c:f>'Cálc economia (cheio)'!$AB$11</c:f>
              <c:strCache>
                <c:ptCount val="1"/>
                <c:pt idx="0">
                  <c:v>Prev. Acum</c:v>
                </c:pt>
              </c:strCache>
            </c:strRef>
          </c:tx>
          <c:spPr>
            <a:ln w="25400" cap="rnd">
              <a:solidFill>
                <a:schemeClr val="accent1"/>
              </a:solidFill>
              <a:round/>
            </a:ln>
            <a:effectLst/>
          </c:spPr>
          <c:marker>
            <c:symbol val="circle"/>
            <c:size val="4"/>
            <c:spPr>
              <a:solidFill>
                <a:srgbClr val="0070C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pt-B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'Cálc economia (cheio)'!$AC$11:$AH$11</c:f>
              <c:numCache>
                <c:formatCode>General</c:formatCode>
                <c:ptCount val="6"/>
                <c:pt idx="0">
                  <c:v>112.90284456000001</c:v>
                </c:pt>
                <c:pt idx="1">
                  <c:v>282.25711139999999</c:v>
                </c:pt>
                <c:pt idx="2">
                  <c:v>508.06280052</c:v>
                </c:pt>
                <c:pt idx="3">
                  <c:v>733.86848964000001</c:v>
                </c:pt>
                <c:pt idx="4">
                  <c:v>903.22275648000004</c:v>
                </c:pt>
                <c:pt idx="5">
                  <c:v>1030.5013121800002</c:v>
                </c:pt>
              </c:numCache>
            </c:numRef>
          </c:val>
          <c:smooth val="1"/>
          <c:extLst>
            <c:ext xmlns:c16="http://schemas.microsoft.com/office/drawing/2014/chart" uri="{C3380CC4-5D6E-409C-BE32-E72D297353CC}">
              <c16:uniqueId val="{00000002-67B1-407D-9056-366260E59F38}"/>
            </c:ext>
          </c:extLst>
        </c:ser>
        <c:dLbls>
          <c:showLegendKey val="0"/>
          <c:showVal val="0"/>
          <c:showCatName val="0"/>
          <c:showSerName val="0"/>
          <c:showPercent val="0"/>
          <c:showBubbleSize val="0"/>
        </c:dLbls>
        <c:marker val="1"/>
        <c:smooth val="0"/>
        <c:axId val="638151088"/>
        <c:axId val="638146168"/>
      </c:lineChart>
      <c:catAx>
        <c:axId val="638151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pt-BR"/>
          </a:p>
        </c:txPr>
        <c:crossAx val="638146168"/>
        <c:crosses val="autoZero"/>
        <c:auto val="1"/>
        <c:lblAlgn val="ctr"/>
        <c:lblOffset val="100"/>
        <c:noMultiLvlLbl val="0"/>
      </c:catAx>
      <c:valAx>
        <c:axId val="638146168"/>
        <c:scaling>
          <c:orientation val="minMax"/>
        </c:scaling>
        <c:delete val="1"/>
        <c:axPos val="l"/>
        <c:numFmt formatCode="General" sourceLinked="1"/>
        <c:majorTickMark val="none"/>
        <c:minorTickMark val="none"/>
        <c:tickLblPos val="nextTo"/>
        <c:crossAx val="638151088"/>
        <c:crosses val="autoZero"/>
        <c:crossBetween val="between"/>
      </c:valAx>
      <c:spPr>
        <a:noFill/>
        <a:ln>
          <a:noFill/>
        </a:ln>
        <a:effectLst/>
      </c:spPr>
    </c:plotArea>
    <c:legend>
      <c:legendPos val="b"/>
      <c:legendEntry>
        <c:idx val="0"/>
        <c:delete val="1"/>
      </c:legendEntry>
      <c:layout>
        <c:manualLayout>
          <c:xMode val="edge"/>
          <c:yMode val="edge"/>
          <c:x val="0.31452880961636398"/>
          <c:y val="0.88973457323769234"/>
          <c:w val="0.41495309641977873"/>
          <c:h val="9.542863151008201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GBox"/>
</file>

<file path=xl/ctrlProps/ctrlProp2.xml><?xml version="1.0" encoding="utf-8"?>
<formControlPr xmlns="http://schemas.microsoft.com/office/spreadsheetml/2009/9/main" objectType="Radio" checked="Checked" firstButton="1"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4.emf"/><Relationship Id="rId4" Type="http://schemas.openxmlformats.org/officeDocument/2006/relationships/chart" Target="../charts/chart2.xml"/></Relationships>
</file>

<file path=xl/drawings/_rels/drawing10.xml.rels><?xml version="1.0" encoding="UTF-8" standalone="yes"?>
<Relationships xmlns="http://schemas.openxmlformats.org/package/2006/relationships"><Relationship Id="rId1" Type="http://schemas.openxmlformats.org/officeDocument/2006/relationships/image" Target="../media/image6.emf"/></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6.emf"/></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6.emf"/></Relationships>
</file>

<file path=xl/drawings/_rels/drawing1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chart" Target="../charts/chart11.xml"/><Relationship Id="rId4" Type="http://schemas.openxmlformats.org/officeDocument/2006/relationships/chart" Target="../charts/chart10.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image" Target="../media/image6.emf"/></Relationships>
</file>

<file path=xl/drawings/_rels/drawing4.xml.rels><?xml version="1.0" encoding="UTF-8" standalone="yes"?>
<Relationships xmlns="http://schemas.openxmlformats.org/package/2006/relationships"><Relationship Id="rId8" Type="http://schemas.openxmlformats.org/officeDocument/2006/relationships/image" Target="../media/image14.jpeg"/><Relationship Id="rId13" Type="http://schemas.openxmlformats.org/officeDocument/2006/relationships/image" Target="../media/image19.jpeg"/><Relationship Id="rId18" Type="http://schemas.openxmlformats.org/officeDocument/2006/relationships/image" Target="../media/image24.jpeg"/><Relationship Id="rId26" Type="http://schemas.openxmlformats.org/officeDocument/2006/relationships/image" Target="../media/image32.jpeg"/><Relationship Id="rId3" Type="http://schemas.openxmlformats.org/officeDocument/2006/relationships/image" Target="../media/image9.jpeg"/><Relationship Id="rId21" Type="http://schemas.openxmlformats.org/officeDocument/2006/relationships/image" Target="../media/image27.jpeg"/><Relationship Id="rId34" Type="http://schemas.openxmlformats.org/officeDocument/2006/relationships/image" Target="../media/image40.jpeg"/><Relationship Id="rId7" Type="http://schemas.openxmlformats.org/officeDocument/2006/relationships/image" Target="../media/image13.jpeg"/><Relationship Id="rId12" Type="http://schemas.openxmlformats.org/officeDocument/2006/relationships/image" Target="../media/image18.jpeg"/><Relationship Id="rId17" Type="http://schemas.openxmlformats.org/officeDocument/2006/relationships/image" Target="../media/image23.jpeg"/><Relationship Id="rId25" Type="http://schemas.openxmlformats.org/officeDocument/2006/relationships/image" Target="../media/image31.jpeg"/><Relationship Id="rId33" Type="http://schemas.openxmlformats.org/officeDocument/2006/relationships/image" Target="../media/image39.jpeg"/><Relationship Id="rId2" Type="http://schemas.openxmlformats.org/officeDocument/2006/relationships/image" Target="../media/image8.jpeg"/><Relationship Id="rId16" Type="http://schemas.openxmlformats.org/officeDocument/2006/relationships/image" Target="../media/image22.jpeg"/><Relationship Id="rId20" Type="http://schemas.openxmlformats.org/officeDocument/2006/relationships/image" Target="../media/image26.jpeg"/><Relationship Id="rId29" Type="http://schemas.openxmlformats.org/officeDocument/2006/relationships/image" Target="../media/image35.jpeg"/><Relationship Id="rId1" Type="http://schemas.openxmlformats.org/officeDocument/2006/relationships/image" Target="../media/image7.jpeg"/><Relationship Id="rId6" Type="http://schemas.openxmlformats.org/officeDocument/2006/relationships/image" Target="../media/image12.jpeg"/><Relationship Id="rId11" Type="http://schemas.openxmlformats.org/officeDocument/2006/relationships/image" Target="../media/image17.jpeg"/><Relationship Id="rId24" Type="http://schemas.openxmlformats.org/officeDocument/2006/relationships/image" Target="../media/image30.jpeg"/><Relationship Id="rId32" Type="http://schemas.openxmlformats.org/officeDocument/2006/relationships/image" Target="../media/image38.jpeg"/><Relationship Id="rId5" Type="http://schemas.openxmlformats.org/officeDocument/2006/relationships/image" Target="../media/image11.jpeg"/><Relationship Id="rId15" Type="http://schemas.openxmlformats.org/officeDocument/2006/relationships/image" Target="../media/image21.jpeg"/><Relationship Id="rId23" Type="http://schemas.openxmlformats.org/officeDocument/2006/relationships/image" Target="../media/image29.jpeg"/><Relationship Id="rId28" Type="http://schemas.openxmlformats.org/officeDocument/2006/relationships/image" Target="../media/image34.jpeg"/><Relationship Id="rId10" Type="http://schemas.openxmlformats.org/officeDocument/2006/relationships/image" Target="../media/image16.jpeg"/><Relationship Id="rId19" Type="http://schemas.openxmlformats.org/officeDocument/2006/relationships/image" Target="../media/image25.jpeg"/><Relationship Id="rId31" Type="http://schemas.openxmlformats.org/officeDocument/2006/relationships/image" Target="../media/image37.jpeg"/><Relationship Id="rId4" Type="http://schemas.openxmlformats.org/officeDocument/2006/relationships/image" Target="../media/image10.jpeg"/><Relationship Id="rId9" Type="http://schemas.openxmlformats.org/officeDocument/2006/relationships/image" Target="../media/image15.jpeg"/><Relationship Id="rId14" Type="http://schemas.openxmlformats.org/officeDocument/2006/relationships/image" Target="../media/image20.jpeg"/><Relationship Id="rId22" Type="http://schemas.openxmlformats.org/officeDocument/2006/relationships/image" Target="../media/image28.jpeg"/><Relationship Id="rId27" Type="http://schemas.openxmlformats.org/officeDocument/2006/relationships/image" Target="../media/image33.jpeg"/><Relationship Id="rId30" Type="http://schemas.openxmlformats.org/officeDocument/2006/relationships/image" Target="../media/image36.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1.jpeg"/><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2" Type="http://schemas.openxmlformats.org/officeDocument/2006/relationships/image" Target="../media/image42.jpeg"/><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image" Target="../media/image43.png"/><Relationship Id="rId7"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3.jpeg"/><Relationship Id="rId6" Type="http://schemas.openxmlformats.org/officeDocument/2006/relationships/image" Target="../media/image45.jpeg"/><Relationship Id="rId5" Type="http://schemas.openxmlformats.org/officeDocument/2006/relationships/image" Target="../media/image44.emf"/><Relationship Id="rId4"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21403</xdr:colOff>
      <xdr:row>5</xdr:row>
      <xdr:rowOff>41952</xdr:rowOff>
    </xdr:from>
    <xdr:ext cx="10624186" cy="249402"/>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21403" y="1823687"/>
          <a:ext cx="10624186" cy="249402"/>
        </a:xfrm>
        <a:prstGeom prst="rect">
          <a:avLst/>
        </a:prstGeom>
        <a:solidFill>
          <a:schemeClr val="tx2">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pt-BR" sz="1400" b="1" baseline="0">
              <a:solidFill>
                <a:schemeClr val="bg1"/>
              </a:solidFill>
              <a:effectLst/>
              <a:latin typeface="Arial" panose="020B0604020202020204" pitchFamily="34" charset="0"/>
              <a:ea typeface="Verdana" panose="020B0604030504040204" pitchFamily="34" charset="0"/>
              <a:cs typeface="Arial" panose="020B0604020202020204" pitchFamily="34" charset="0"/>
            </a:rPr>
            <a:t>REGISTRO FOTOGRÁFICO / DESENHO / ISOMÉTRICO</a:t>
          </a:r>
          <a:endParaRPr lang="pt-BR" sz="1400" b="1">
            <a:solidFill>
              <a:schemeClr val="bg1"/>
            </a:solidFill>
            <a:effectLst/>
            <a:latin typeface="Arial" panose="020B0604020202020204" pitchFamily="34" charset="0"/>
            <a:ea typeface="Verdana" panose="020B0604030504040204" pitchFamily="34" charset="0"/>
            <a:cs typeface="Arial" panose="020B0604020202020204" pitchFamily="34" charset="0"/>
          </a:endParaRPr>
        </a:p>
      </xdr:txBody>
    </xdr:sp>
    <xdr:clientData/>
  </xdr:oneCellAnchor>
  <xdr:oneCellAnchor>
    <xdr:from>
      <xdr:col>24</xdr:col>
      <xdr:colOff>378557</xdr:colOff>
      <xdr:row>30</xdr:row>
      <xdr:rowOff>24423</xdr:rowOff>
    </xdr:from>
    <xdr:ext cx="184731" cy="264560"/>
    <xdr:sp macro="" textlink="">
      <xdr:nvSpPr>
        <xdr:cNvPr id="4" name="CaixaDeTexto 3">
          <a:extLst>
            <a:ext uri="{FF2B5EF4-FFF2-40B4-BE49-F238E27FC236}">
              <a16:creationId xmlns:a16="http://schemas.microsoft.com/office/drawing/2014/main" id="{00000000-0008-0000-0000-000004000000}"/>
            </a:ext>
          </a:extLst>
        </xdr:cNvPr>
        <xdr:cNvSpPr txBox="1"/>
      </xdr:nvSpPr>
      <xdr:spPr>
        <a:xfrm>
          <a:off x="17142557" y="573942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BR" sz="1100"/>
        </a:p>
      </xdr:txBody>
    </xdr:sp>
    <xdr:clientData/>
  </xdr:oneCellAnchor>
  <xdr:oneCellAnchor>
    <xdr:from>
      <xdr:col>24</xdr:col>
      <xdr:colOff>378557</xdr:colOff>
      <xdr:row>39</xdr:row>
      <xdr:rowOff>0</xdr:rowOff>
    </xdr:from>
    <xdr:ext cx="184731" cy="264560"/>
    <xdr:sp macro="" textlink="">
      <xdr:nvSpPr>
        <xdr:cNvPr id="5" name="CaixaDeTexto 4">
          <a:extLst>
            <a:ext uri="{FF2B5EF4-FFF2-40B4-BE49-F238E27FC236}">
              <a16:creationId xmlns:a16="http://schemas.microsoft.com/office/drawing/2014/main" id="{00000000-0008-0000-0000-000005000000}"/>
            </a:ext>
          </a:extLst>
        </xdr:cNvPr>
        <xdr:cNvSpPr txBox="1"/>
      </xdr:nvSpPr>
      <xdr:spPr>
        <a:xfrm>
          <a:off x="17142557" y="74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BR" sz="1100"/>
        </a:p>
      </xdr:txBody>
    </xdr:sp>
    <xdr:clientData/>
  </xdr:oneCellAnchor>
  <xdr:oneCellAnchor>
    <xdr:from>
      <xdr:col>24</xdr:col>
      <xdr:colOff>378557</xdr:colOff>
      <xdr:row>39</xdr:row>
      <xdr:rowOff>0</xdr:rowOff>
    </xdr:from>
    <xdr:ext cx="184731" cy="264560"/>
    <xdr:sp macro="" textlink="">
      <xdr:nvSpPr>
        <xdr:cNvPr id="6" name="CaixaDeTexto 5">
          <a:extLst>
            <a:ext uri="{FF2B5EF4-FFF2-40B4-BE49-F238E27FC236}">
              <a16:creationId xmlns:a16="http://schemas.microsoft.com/office/drawing/2014/main" id="{00000000-0008-0000-0000-000006000000}"/>
            </a:ext>
          </a:extLst>
        </xdr:cNvPr>
        <xdr:cNvSpPr txBox="1"/>
      </xdr:nvSpPr>
      <xdr:spPr>
        <a:xfrm>
          <a:off x="17142557" y="74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t-BR" sz="1100"/>
        </a:p>
      </xdr:txBody>
    </xdr:sp>
    <xdr:clientData/>
  </xdr:oneCellAnchor>
  <xdr:oneCellAnchor>
    <xdr:from>
      <xdr:col>23</xdr:col>
      <xdr:colOff>33310</xdr:colOff>
      <xdr:row>5</xdr:row>
      <xdr:rowOff>22413</xdr:rowOff>
    </xdr:from>
    <xdr:ext cx="6847102" cy="253484"/>
    <xdr:sp macro="" textlink="">
      <xdr:nvSpPr>
        <xdr:cNvPr id="8" name="CaixaDeTexto 7">
          <a:extLst>
            <a:ext uri="{FF2B5EF4-FFF2-40B4-BE49-F238E27FC236}">
              <a16:creationId xmlns:a16="http://schemas.microsoft.com/office/drawing/2014/main" id="{00000000-0008-0000-0000-000008000000}"/>
            </a:ext>
          </a:extLst>
        </xdr:cNvPr>
        <xdr:cNvSpPr txBox="1"/>
      </xdr:nvSpPr>
      <xdr:spPr>
        <a:xfrm>
          <a:off x="9322986" y="1804148"/>
          <a:ext cx="6847102" cy="253484"/>
        </a:xfrm>
        <a:prstGeom prst="rect">
          <a:avLst/>
        </a:prstGeom>
        <a:solidFill>
          <a:schemeClr val="tx2">
            <a:lumMod val="7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pt-BR" sz="1600" b="1" baseline="0">
              <a:solidFill>
                <a:schemeClr val="bg1"/>
              </a:solidFill>
              <a:effectLst/>
              <a:latin typeface="Arial" panose="020B0604020202020204" pitchFamily="34" charset="0"/>
              <a:ea typeface="Verdana" panose="020B0604030504040204" pitchFamily="34" charset="0"/>
              <a:cs typeface="Arial" panose="020B0604020202020204" pitchFamily="34" charset="0"/>
            </a:rPr>
            <a:t>PLANEJAMENTO ESCOPO HH</a:t>
          </a:r>
          <a:endParaRPr lang="pt-BR" sz="1600" b="1">
            <a:solidFill>
              <a:schemeClr val="bg1"/>
            </a:solidFill>
            <a:effectLst/>
            <a:latin typeface="Arial" panose="020B0604020202020204" pitchFamily="34" charset="0"/>
            <a:ea typeface="Verdana" panose="020B060403050404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xdr:from>
          <xdr:col>0</xdr:col>
          <xdr:colOff>259080</xdr:colOff>
          <xdr:row>0</xdr:row>
          <xdr:rowOff>45720</xdr:rowOff>
        </xdr:from>
        <xdr:to>
          <xdr:col>2</xdr:col>
          <xdr:colOff>121920</xdr:colOff>
          <xdr:row>0</xdr:row>
          <xdr:rowOff>541020</xdr:rowOff>
        </xdr:to>
        <xdr:sp macro="" textlink="">
          <xdr:nvSpPr>
            <xdr:cNvPr id="32769" name="Object 1" hidden="1">
              <a:extLst>
                <a:ext uri="{63B3BB69-23CF-44E3-9099-C40C66FF867C}">
                  <a14:compatExt spid="_x0000_s32769"/>
                </a:ext>
                <a:ext uri="{FF2B5EF4-FFF2-40B4-BE49-F238E27FC236}">
                  <a16:creationId xmlns:a16="http://schemas.microsoft.com/office/drawing/2014/main" id="{00000000-0008-0000-0000-0000018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23</xdr:col>
      <xdr:colOff>269394</xdr:colOff>
      <xdr:row>14</xdr:row>
      <xdr:rowOff>17318</xdr:rowOff>
    </xdr:from>
    <xdr:to>
      <xdr:col>28</xdr:col>
      <xdr:colOff>1481268</xdr:colOff>
      <xdr:row>35</xdr:row>
      <xdr:rowOff>159513</xdr:rowOff>
    </xdr:to>
    <xdr:sp macro="" textlink="">
      <xdr:nvSpPr>
        <xdr:cNvPr id="9" name="CaixaDeTexto 8">
          <a:extLst>
            <a:ext uri="{FF2B5EF4-FFF2-40B4-BE49-F238E27FC236}">
              <a16:creationId xmlns:a16="http://schemas.microsoft.com/office/drawing/2014/main" id="{00000000-0008-0000-0000-000009000000}"/>
            </a:ext>
          </a:extLst>
        </xdr:cNvPr>
        <xdr:cNvSpPr txBox="1"/>
      </xdr:nvSpPr>
      <xdr:spPr>
        <a:xfrm>
          <a:off x="9621212" y="3810000"/>
          <a:ext cx="6476601" cy="51298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t-BR" sz="1600" b="1" u="sng"/>
            <a:t>CONSIDERAÇÕES IMPORTANTES:</a:t>
          </a:r>
        </a:p>
        <a:p>
          <a:pPr algn="l"/>
          <a:endParaRPr lang="pt-BR" sz="1600" b="1" u="sng"/>
        </a:p>
        <a:p>
          <a:pPr algn="l"/>
          <a:r>
            <a:rPr lang="pt-BR" sz="1100" b="0" u="none"/>
            <a:t>- </a:t>
          </a:r>
          <a:r>
            <a:rPr lang="pt-BR" sz="1100" b="0" u="none" baseline="0"/>
            <a:t>PARA GERAÇÃO DESTA A.S. FORAM CONSIDERADAS AS LINHAS MS e SS DA CAFOR DA U-51, CUJO LEVANTAMENTO FOI FEITO COM O AUXÍLIO DOS ISOMÉTRICOS CEDIDOS PELA ACELEN.;</a:t>
          </a:r>
        </a:p>
        <a:p>
          <a:pPr algn="l"/>
          <a:r>
            <a:rPr lang="pt-BR" sz="1100" b="0" u="none" baseline="0"/>
            <a:t>- OS SERVIÇOS SERÃO MEDIDO DE ACORDO COM O VOLUME EXECUTADO</a:t>
          </a:r>
          <a:r>
            <a:rPr lang="pt-BR" sz="1400" b="0" u="none" baseline="0"/>
            <a:t>.</a:t>
          </a:r>
          <a:endParaRPr lang="pt-BR" sz="1400" b="0" u="none"/>
        </a:p>
      </xdr:txBody>
    </xdr:sp>
    <xdr:clientData/>
  </xdr:twoCellAnchor>
  <xdr:twoCellAnchor editAs="oneCell">
    <xdr:from>
      <xdr:col>27</xdr:col>
      <xdr:colOff>1642533</xdr:colOff>
      <xdr:row>0</xdr:row>
      <xdr:rowOff>148820</xdr:rowOff>
    </xdr:from>
    <xdr:to>
      <xdr:col>28</xdr:col>
      <xdr:colOff>1134532</xdr:colOff>
      <xdr:row>0</xdr:row>
      <xdr:rowOff>456100</xdr:rowOff>
    </xdr:to>
    <xdr:pic>
      <xdr:nvPicPr>
        <xdr:cNvPr id="14" name="Imagem 13">
          <a:extLst>
            <a:ext uri="{FF2B5EF4-FFF2-40B4-BE49-F238E27FC236}">
              <a16:creationId xmlns:a16="http://schemas.microsoft.com/office/drawing/2014/main" id="{00000000-0008-0000-0000-00000E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7176" b="39766"/>
        <a:stretch/>
      </xdr:blipFill>
      <xdr:spPr>
        <a:xfrm>
          <a:off x="16645466" y="148820"/>
          <a:ext cx="1286933" cy="307280"/>
        </a:xfrm>
        <a:prstGeom prst="rect">
          <a:avLst/>
        </a:prstGeom>
      </xdr:spPr>
    </xdr:pic>
    <xdr:clientData/>
  </xdr:twoCellAnchor>
  <xdr:twoCellAnchor>
    <xdr:from>
      <xdr:col>0</xdr:col>
      <xdr:colOff>1</xdr:colOff>
      <xdr:row>6</xdr:row>
      <xdr:rowOff>138545</xdr:rowOff>
    </xdr:from>
    <xdr:to>
      <xdr:col>22</xdr:col>
      <xdr:colOff>1853046</xdr:colOff>
      <xdr:row>21</xdr:row>
      <xdr:rowOff>51954</xdr:rowOff>
    </xdr:to>
    <xdr:grpSp>
      <xdr:nvGrpSpPr>
        <xdr:cNvPr id="24" name="Agrupar 23">
          <a:extLst>
            <a:ext uri="{FF2B5EF4-FFF2-40B4-BE49-F238E27FC236}">
              <a16:creationId xmlns:a16="http://schemas.microsoft.com/office/drawing/2014/main" id="{00000000-0008-0000-0000-000018000000}"/>
            </a:ext>
          </a:extLst>
        </xdr:cNvPr>
        <xdr:cNvGrpSpPr/>
      </xdr:nvGrpSpPr>
      <xdr:grpSpPr>
        <a:xfrm>
          <a:off x="1" y="2074437"/>
          <a:ext cx="9668694" cy="3538058"/>
          <a:chOff x="13739485" y="17240250"/>
          <a:chExt cx="16789590" cy="6381750"/>
        </a:xfrm>
      </xdr:grpSpPr>
      <xdr:pic>
        <xdr:nvPicPr>
          <xdr:cNvPr id="25" name="Picture 4">
            <a:extLst>
              <a:ext uri="{FF2B5EF4-FFF2-40B4-BE49-F238E27FC236}">
                <a16:creationId xmlns:a16="http://schemas.microsoft.com/office/drawing/2014/main" id="{00000000-0008-0000-0000-000019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b="11094"/>
          <a:stretch/>
        </xdr:blipFill>
        <xdr:spPr>
          <a:xfrm>
            <a:off x="13739485" y="17240250"/>
            <a:ext cx="16789590" cy="6381750"/>
          </a:xfrm>
          <a:prstGeom prst="rect">
            <a:avLst/>
          </a:prstGeom>
          <a:solidFill>
            <a:schemeClr val="bg1"/>
          </a:solidFill>
        </xdr:spPr>
      </xdr:pic>
      <xdr:sp macro="" textlink="">
        <xdr:nvSpPr>
          <xdr:cNvPr id="26" name="Object 3" hidden="1">
            <a:extLst>
              <a:ext uri="{63B3BB69-23CF-44E3-9099-C40C66FF867C}">
                <a14:compatExt xmlns:a14="http://schemas.microsoft.com/office/drawing/2010/main" spid="_x0000_s158723"/>
              </a:ext>
              <a:ext uri="{FF2B5EF4-FFF2-40B4-BE49-F238E27FC236}">
                <a16:creationId xmlns:a16="http://schemas.microsoft.com/office/drawing/2014/main" id="{00000000-0008-0000-0000-00001A000000}"/>
              </a:ext>
            </a:extLst>
          </xdr:cNvPr>
          <xdr:cNvSpPr/>
        </xdr:nvSpPr>
        <xdr:spPr bwMode="auto">
          <a:xfrm>
            <a:off x="13865226" y="17415729"/>
            <a:ext cx="1585366" cy="381000"/>
          </a:xfrm>
          <a:prstGeom prst="rect">
            <a:avLst/>
          </a:prstGeom>
          <a:noFill/>
          <a:extLst>
            <a:ext uri="{909E8E84-426E-40DD-AFC4-6F175D3DCCD1}">
              <a14:hiddenFill xmlns:a14="http://schemas.microsoft.com/office/drawing/2010/main">
                <a:solidFill>
                  <a:srgbClr val="FFFFFF"/>
                </a:solidFill>
              </a14:hiddenFill>
            </a:ext>
          </a:extLst>
        </xdr:spPr>
      </xdr:sp>
      <xdr:sp macro="" textlink="">
        <xdr:nvSpPr>
          <xdr:cNvPr id="27" name="Retângulo 26">
            <a:extLst>
              <a:ext uri="{FF2B5EF4-FFF2-40B4-BE49-F238E27FC236}">
                <a16:creationId xmlns:a16="http://schemas.microsoft.com/office/drawing/2014/main" id="{00000000-0008-0000-0000-00001B000000}"/>
              </a:ext>
            </a:extLst>
          </xdr:cNvPr>
          <xdr:cNvSpPr/>
        </xdr:nvSpPr>
        <xdr:spPr>
          <a:xfrm>
            <a:off x="18695587" y="17491709"/>
            <a:ext cx="7467804" cy="884830"/>
          </a:xfrm>
          <a:prstGeom prst="rect">
            <a:avLst/>
          </a:prstGeom>
          <a:noFill/>
        </xdr:spPr>
        <xdr:txBody>
          <a:bodyPr wrap="none" lIns="91440" tIns="45720" rIns="91440" bIns="45720">
            <a:spAutoFit/>
          </a:bodyPr>
          <a:lstStyle/>
          <a:p>
            <a:pPr algn="ctr"/>
            <a:r>
              <a:rPr lang="pt-BR" sz="1400" b="0" cap="none" spc="0" baseline="0">
                <a:ln w="0"/>
                <a:solidFill>
                  <a:srgbClr val="002060"/>
                </a:solidFill>
                <a:effectLst>
                  <a:outerShdw blurRad="38100" dist="19050" dir="2700000" algn="tl" rotWithShape="0">
                    <a:schemeClr val="dk1">
                      <a:alpha val="40000"/>
                    </a:schemeClr>
                  </a:outerShdw>
                </a:effectLst>
                <a:latin typeface="+mn-lt"/>
                <a:ea typeface="+mn-ea"/>
                <a:cs typeface="+mn-cs"/>
              </a:rPr>
              <a:t>CURVA DE AVANÇO</a:t>
            </a:r>
          </a:p>
          <a:p>
            <a:pPr algn="ctr"/>
            <a:r>
              <a:rPr lang="pt-BR" sz="1400" b="0" cap="none" spc="0" baseline="0">
                <a:ln w="0"/>
                <a:solidFill>
                  <a:srgbClr val="002060"/>
                </a:solidFill>
                <a:effectLst>
                  <a:outerShdw blurRad="38100" dist="19050" dir="2700000" algn="tl" rotWithShape="0">
                    <a:schemeClr val="dk1">
                      <a:alpha val="40000"/>
                    </a:schemeClr>
                  </a:outerShdw>
                </a:effectLst>
                <a:latin typeface="+mn-lt"/>
                <a:ea typeface="+mn-ea"/>
                <a:cs typeface="+mn-cs"/>
              </a:rPr>
              <a:t>REVITALIZAÇÃO ENERGETICA CAFOR U-51/U-83/U-17D</a:t>
            </a:r>
          </a:p>
        </xdr:txBody>
      </xdr:sp>
    </xdr:grpSp>
    <xdr:clientData/>
  </xdr:twoCellAnchor>
  <xdr:twoCellAnchor>
    <xdr:from>
      <xdr:col>0</xdr:col>
      <xdr:colOff>103719</xdr:colOff>
      <xdr:row>10</xdr:row>
      <xdr:rowOff>101023</xdr:rowOff>
    </xdr:from>
    <xdr:to>
      <xdr:col>22</xdr:col>
      <xdr:colOff>1859019</xdr:colOff>
      <xdr:row>21</xdr:row>
      <xdr:rowOff>1</xdr:rowOff>
    </xdr:to>
    <xdr:graphicFrame macro="">
      <xdr:nvGraphicFramePr>
        <xdr:cNvPr id="28" name="Gráfico 27">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xdr:colOff>
      <xdr:row>20</xdr:row>
      <xdr:rowOff>190500</xdr:rowOff>
    </xdr:from>
    <xdr:to>
      <xdr:col>23</xdr:col>
      <xdr:colOff>51955</xdr:colOff>
      <xdr:row>34</xdr:row>
      <xdr:rowOff>258975</xdr:rowOff>
    </xdr:to>
    <xdr:grpSp>
      <xdr:nvGrpSpPr>
        <xdr:cNvPr id="30" name="Agrupar 29">
          <a:extLst>
            <a:ext uri="{FF2B5EF4-FFF2-40B4-BE49-F238E27FC236}">
              <a16:creationId xmlns:a16="http://schemas.microsoft.com/office/drawing/2014/main" id="{00000000-0008-0000-0000-00001E000000}"/>
            </a:ext>
          </a:extLst>
        </xdr:cNvPr>
        <xdr:cNvGrpSpPr/>
      </xdr:nvGrpSpPr>
      <xdr:grpSpPr>
        <a:xfrm>
          <a:off x="2" y="5503905"/>
          <a:ext cx="9782899" cy="3343016"/>
          <a:chOff x="13700126" y="23939499"/>
          <a:chExt cx="16827499" cy="6334125"/>
        </a:xfrm>
        <a:noFill/>
      </xdr:grpSpPr>
      <xdr:pic>
        <xdr:nvPicPr>
          <xdr:cNvPr id="31" name="Picture 4">
            <a:extLst>
              <a:ext uri="{FF2B5EF4-FFF2-40B4-BE49-F238E27FC236}">
                <a16:creationId xmlns:a16="http://schemas.microsoft.com/office/drawing/2014/main" id="{00000000-0008-0000-0000-00001F000000}"/>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b="11094"/>
          <a:stretch/>
        </xdr:blipFill>
        <xdr:spPr>
          <a:xfrm>
            <a:off x="13700126" y="23939499"/>
            <a:ext cx="16827499" cy="6334125"/>
          </a:xfrm>
          <a:prstGeom prst="rect">
            <a:avLst/>
          </a:prstGeom>
          <a:grpFill/>
        </xdr:spPr>
      </xdr:pic>
      <xdr:sp macro="" textlink="">
        <xdr:nvSpPr>
          <xdr:cNvPr id="32" name="Object 4" hidden="1">
            <a:extLst>
              <a:ext uri="{63B3BB69-23CF-44E3-9099-C40C66FF867C}">
                <a14:compatExt xmlns:a14="http://schemas.microsoft.com/office/drawing/2010/main" spid="_x0000_s158724"/>
              </a:ext>
              <a:ext uri="{FF2B5EF4-FFF2-40B4-BE49-F238E27FC236}">
                <a16:creationId xmlns:a16="http://schemas.microsoft.com/office/drawing/2014/main" id="{00000000-0008-0000-0000-000020000000}"/>
              </a:ext>
            </a:extLst>
          </xdr:cNvPr>
          <xdr:cNvSpPr/>
        </xdr:nvSpPr>
        <xdr:spPr bwMode="auto">
          <a:xfrm>
            <a:off x="13874750" y="24101425"/>
            <a:ext cx="1393824" cy="381000"/>
          </a:xfrm>
          <a:prstGeom prst="rect">
            <a:avLst/>
          </a:prstGeom>
          <a:noFill/>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1</xdr:colOff>
      <xdr:row>21</xdr:row>
      <xdr:rowOff>121228</xdr:rowOff>
    </xdr:from>
    <xdr:to>
      <xdr:col>22</xdr:col>
      <xdr:colOff>1818410</xdr:colOff>
      <xdr:row>35</xdr:row>
      <xdr:rowOff>69274</xdr:rowOff>
    </xdr:to>
    <xdr:graphicFrame macro="">
      <xdr:nvGraphicFramePr>
        <xdr:cNvPr id="33" name="Gráfico 32">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23</xdr:col>
          <xdr:colOff>623455</xdr:colOff>
          <xdr:row>20</xdr:row>
          <xdr:rowOff>69273</xdr:rowOff>
        </xdr:from>
        <xdr:to>
          <xdr:col>28</xdr:col>
          <xdr:colOff>1091046</xdr:colOff>
          <xdr:row>35</xdr:row>
          <xdr:rowOff>167447</xdr:rowOff>
        </xdr:to>
        <xdr:pic>
          <xdr:nvPicPr>
            <xdr:cNvPr id="34" name="Imagem 33">
              <a:extLst>
                <a:ext uri="{FF2B5EF4-FFF2-40B4-BE49-F238E27FC236}">
                  <a16:creationId xmlns:a16="http://schemas.microsoft.com/office/drawing/2014/main" id="{00000000-0008-0000-0000-000022000000}"/>
                </a:ext>
              </a:extLst>
            </xdr:cNvPr>
            <xdr:cNvPicPr>
              <a:picLocks noChangeAspect="1" noChangeArrowheads="1"/>
              <a:extLst>
                <a:ext uri="{84589F7E-364E-4C9E-8A38-B11213B215E9}">
                  <a14:cameraTool cellRange="'Cálc economia (25%)'!$B$23:$F$41" spid="_x0000_s33456"/>
                </a:ext>
              </a:extLst>
            </xdr:cNvPicPr>
          </xdr:nvPicPr>
          <xdr:blipFill>
            <a:blip xmlns:r="http://schemas.openxmlformats.org/officeDocument/2006/relationships" r:embed="rId5"/>
            <a:srcRect/>
            <a:stretch>
              <a:fillRect/>
            </a:stretch>
          </xdr:blipFill>
          <xdr:spPr bwMode="auto">
            <a:xfrm>
              <a:off x="9975273" y="5316682"/>
              <a:ext cx="5732318" cy="363108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23</xdr:col>
      <xdr:colOff>640774</xdr:colOff>
      <xdr:row>18</xdr:row>
      <xdr:rowOff>190500</xdr:rowOff>
    </xdr:from>
    <xdr:to>
      <xdr:col>28</xdr:col>
      <xdr:colOff>1056411</xdr:colOff>
      <xdr:row>20</xdr:row>
      <xdr:rowOff>138545</xdr:rowOff>
    </xdr:to>
    <xdr:sp macro="" textlink="">
      <xdr:nvSpPr>
        <xdr:cNvPr id="2" name="CaixaDeTexto 1">
          <a:extLst>
            <a:ext uri="{FF2B5EF4-FFF2-40B4-BE49-F238E27FC236}">
              <a16:creationId xmlns:a16="http://schemas.microsoft.com/office/drawing/2014/main" id="{00000000-0008-0000-0000-000002000000}"/>
            </a:ext>
          </a:extLst>
        </xdr:cNvPr>
        <xdr:cNvSpPr txBox="1"/>
      </xdr:nvSpPr>
      <xdr:spPr>
        <a:xfrm>
          <a:off x="9992592" y="4953000"/>
          <a:ext cx="5680364" cy="4329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b="1"/>
            <a:t>Tabela</a:t>
          </a:r>
          <a:r>
            <a:rPr lang="pt-BR" sz="1600" b="1" baseline="0"/>
            <a:t> de Economia de Energia x Valores por diâmetro</a:t>
          </a:r>
          <a:endParaRPr lang="pt-BR" sz="16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313258</xdr:colOff>
      <xdr:row>1</xdr:row>
      <xdr:rowOff>118508</xdr:rowOff>
    </xdr:from>
    <xdr:to>
      <xdr:col>7</xdr:col>
      <xdr:colOff>366346</xdr:colOff>
      <xdr:row>3</xdr:row>
      <xdr:rowOff>150924</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82978" y="522368"/>
          <a:ext cx="3642108" cy="840136"/>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9</xdr:col>
      <xdr:colOff>360218</xdr:colOff>
      <xdr:row>0</xdr:row>
      <xdr:rowOff>55419</xdr:rowOff>
    </xdr:from>
    <xdr:to>
      <xdr:col>30</xdr:col>
      <xdr:colOff>498764</xdr:colOff>
      <xdr:row>4</xdr:row>
      <xdr:rowOff>277092</xdr:rowOff>
    </xdr:to>
    <xdr:sp macro="" textlink="">
      <xdr:nvSpPr>
        <xdr:cNvPr id="3" name="CaixaDeTexto 2">
          <a:extLst>
            <a:ext uri="{FF2B5EF4-FFF2-40B4-BE49-F238E27FC236}">
              <a16:creationId xmlns:a16="http://schemas.microsoft.com/office/drawing/2014/main" id="{00000000-0008-0000-0900-000003000000}"/>
            </a:ext>
          </a:extLst>
        </xdr:cNvPr>
        <xdr:cNvSpPr txBox="1"/>
      </xdr:nvSpPr>
      <xdr:spPr>
        <a:xfrm>
          <a:off x="11477798" y="55419"/>
          <a:ext cx="21497406" cy="18371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400" b="1" baseline="0">
              <a:solidFill>
                <a:srgbClr val="002060"/>
              </a:solidFill>
              <a:latin typeface="Arial Unicode MS" panose="020B0604020202020204" pitchFamily="34" charset="-128"/>
              <a:ea typeface="Arial Unicode MS" panose="020B0604020202020204" pitchFamily="34" charset="-128"/>
              <a:cs typeface="Arial Unicode MS" panose="020B0604020202020204" pitchFamily="34" charset="-128"/>
            </a:rPr>
            <a:t>PLANILHA DE LEVANTAMENTO - ISOLAMENTO ARMAFLEX/FIBRA CERÂMICA</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879269</xdr:colOff>
      <xdr:row>7</xdr:row>
      <xdr:rowOff>226139</xdr:rowOff>
    </xdr:from>
    <xdr:ext cx="9701893" cy="530658"/>
    <xdr:sp macro="" textlink="">
      <xdr:nvSpPr>
        <xdr:cNvPr id="2" name="Retângulo 1">
          <a:extLst>
            <a:ext uri="{FF2B5EF4-FFF2-40B4-BE49-F238E27FC236}">
              <a16:creationId xmlns:a16="http://schemas.microsoft.com/office/drawing/2014/main" id="{00000000-0008-0000-0C00-000002000000}"/>
            </a:ext>
          </a:extLst>
        </xdr:cNvPr>
        <xdr:cNvSpPr/>
      </xdr:nvSpPr>
      <xdr:spPr>
        <a:xfrm>
          <a:off x="1298369" y="226139"/>
          <a:ext cx="9701893" cy="530658"/>
        </a:xfrm>
        <a:prstGeom prst="rect">
          <a:avLst/>
        </a:prstGeom>
        <a:noFill/>
      </xdr:spPr>
      <xdr:txBody>
        <a:bodyPr wrap="square" lIns="91440" tIns="45720" rIns="91440" bIns="45720">
          <a:spAutoFit/>
        </a:bodyPr>
        <a:lstStyle/>
        <a:p>
          <a:pPr algn="ctr"/>
          <a:r>
            <a:rPr lang="pt-BR" sz="2800" b="1" cap="none" spc="0" baseline="0">
              <a:ln w="0"/>
              <a:solidFill>
                <a:schemeClr val="tx1"/>
              </a:solidFill>
              <a:effectLst>
                <a:outerShdw blurRad="38100" dist="19050" dir="2700000" algn="tl" rotWithShape="0">
                  <a:schemeClr val="dk1">
                    <a:alpha val="40000"/>
                  </a:schemeClr>
                </a:outerShdw>
              </a:effectLst>
            </a:rPr>
            <a:t>ISOLAMENTO</a:t>
          </a:r>
          <a:endParaRPr lang="pt-BR" sz="2800" b="1" cap="none" spc="0">
            <a:ln w="0"/>
            <a:solidFill>
              <a:schemeClr val="tx1"/>
            </a:solidFill>
            <a:effectLst>
              <a:outerShdw blurRad="38100" dist="19050" dir="2700000" algn="tl" rotWithShape="0">
                <a:schemeClr val="dk1">
                  <a:alpha val="40000"/>
                </a:schemeClr>
              </a:outerShdw>
            </a:effectLst>
          </a:endParaRPr>
        </a:p>
      </xdr:txBody>
    </xdr:sp>
    <xdr:clientData/>
  </xdr:oneCellAnchor>
  <mc:AlternateContent xmlns:mc="http://schemas.openxmlformats.org/markup-compatibility/2006">
    <mc:Choice xmlns:a14="http://schemas.microsoft.com/office/drawing/2010/main" Requires="a14">
      <xdr:twoCellAnchor>
        <xdr:from>
          <xdr:col>1</xdr:col>
          <xdr:colOff>7620</xdr:colOff>
          <xdr:row>7</xdr:row>
          <xdr:rowOff>236220</xdr:rowOff>
        </xdr:from>
        <xdr:to>
          <xdr:col>1</xdr:col>
          <xdr:colOff>1950720</xdr:colOff>
          <xdr:row>8</xdr:row>
          <xdr:rowOff>251460</xdr:rowOff>
        </xdr:to>
        <xdr:sp macro="" textlink="">
          <xdr:nvSpPr>
            <xdr:cNvPr id="219137" name="Object 1" hidden="1">
              <a:extLst>
                <a:ext uri="{63B3BB69-23CF-44E3-9099-C40C66FF867C}">
                  <a14:compatExt spid="_x0000_s219137"/>
                </a:ext>
                <a:ext uri="{FF2B5EF4-FFF2-40B4-BE49-F238E27FC236}">
                  <a16:creationId xmlns:a16="http://schemas.microsoft.com/office/drawing/2014/main" id="{00000000-0008-0000-0C00-0000015803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4</xdr:col>
      <xdr:colOff>41562</xdr:colOff>
      <xdr:row>33</xdr:row>
      <xdr:rowOff>381000</xdr:rowOff>
    </xdr:from>
    <xdr:to>
      <xdr:col>93</xdr:col>
      <xdr:colOff>460663</xdr:colOff>
      <xdr:row>54</xdr:row>
      <xdr:rowOff>95250</xdr:rowOff>
    </xdr:to>
    <xdr:graphicFrame macro="">
      <xdr:nvGraphicFramePr>
        <xdr:cNvPr id="5" name="Gráfico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1</xdr:col>
      <xdr:colOff>87085</xdr:colOff>
      <xdr:row>0</xdr:row>
      <xdr:rowOff>108858</xdr:rowOff>
    </xdr:from>
    <xdr:ext cx="8077200" cy="342786"/>
    <xdr:sp macro="" textlink="">
      <xdr:nvSpPr>
        <xdr:cNvPr id="2" name="Retângulo 1">
          <a:extLst>
            <a:ext uri="{FF2B5EF4-FFF2-40B4-BE49-F238E27FC236}">
              <a16:creationId xmlns:a16="http://schemas.microsoft.com/office/drawing/2014/main" id="{00000000-0008-0000-0E00-000002000000}"/>
            </a:ext>
          </a:extLst>
        </xdr:cNvPr>
        <xdr:cNvSpPr/>
      </xdr:nvSpPr>
      <xdr:spPr>
        <a:xfrm>
          <a:off x="664028" y="108858"/>
          <a:ext cx="8077200" cy="342786"/>
        </a:xfrm>
        <a:prstGeom prst="rect">
          <a:avLst/>
        </a:prstGeom>
        <a:noFill/>
      </xdr:spPr>
      <xdr:txBody>
        <a:bodyPr wrap="square" lIns="91440" tIns="45720" rIns="91440" bIns="45720">
          <a:spAutoFit/>
        </a:bodyPr>
        <a:lstStyle/>
        <a:p>
          <a:pPr algn="l"/>
          <a:r>
            <a:rPr lang="pt-BR" sz="1600" b="1" cap="none" spc="0">
              <a:ln w="0"/>
              <a:solidFill>
                <a:schemeClr val="tx1"/>
              </a:solidFill>
              <a:effectLst>
                <a:outerShdw blurRad="38100" dist="19050" dir="2700000" algn="tl" rotWithShape="0">
                  <a:schemeClr val="dk1">
                    <a:alpha val="40000"/>
                  </a:schemeClr>
                </a:outerShdw>
              </a:effectLst>
            </a:rPr>
            <a:t>REMOÇÃO</a:t>
          </a:r>
          <a:r>
            <a:rPr lang="pt-BR" sz="1600" b="1" cap="none" spc="0" baseline="0">
              <a:ln w="0"/>
              <a:solidFill>
                <a:schemeClr val="tx1"/>
              </a:solidFill>
              <a:effectLst>
                <a:outerShdw blurRad="38100" dist="19050" dir="2700000" algn="tl" rotWithShape="0">
                  <a:schemeClr val="dk1">
                    <a:alpha val="40000"/>
                  </a:schemeClr>
                </a:outerShdw>
              </a:effectLst>
            </a:rPr>
            <a:t> + RECOMPOSIÇÃO ARMAFLEX 25 MM / 50 MM + FIBRA CERÂMICA 2"</a:t>
          </a:r>
          <a:endParaRPr lang="pt-BR" sz="1600" b="1" cap="none" spc="0">
            <a:ln w="0"/>
            <a:solidFill>
              <a:schemeClr val="tx1"/>
            </a:solidFill>
            <a:effectLst>
              <a:outerShdw blurRad="38100" dist="19050" dir="2700000" algn="tl" rotWithShape="0">
                <a:schemeClr val="dk1">
                  <a:alpha val="40000"/>
                </a:schemeClr>
              </a:outerShdw>
            </a:effectLst>
          </a:endParaRPr>
        </a:p>
      </xdr:txBody>
    </xdr:sp>
    <xdr:clientData/>
  </xdr:oneCellAnchor>
  <xdr:twoCellAnchor>
    <xdr:from>
      <xdr:col>7</xdr:col>
      <xdr:colOff>5987</xdr:colOff>
      <xdr:row>0</xdr:row>
      <xdr:rowOff>59871</xdr:rowOff>
    </xdr:from>
    <xdr:to>
      <xdr:col>7</xdr:col>
      <xdr:colOff>1484623</xdr:colOff>
      <xdr:row>1</xdr:row>
      <xdr:rowOff>228600</xdr:rowOff>
    </xdr:to>
    <xdr:pic>
      <xdr:nvPicPr>
        <xdr:cNvPr id="3" name="Picture 5">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69087" y="59871"/>
          <a:ext cx="1478636" cy="465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335280</xdr:colOff>
      <xdr:row>0</xdr:row>
      <xdr:rowOff>137160</xdr:rowOff>
    </xdr:from>
    <xdr:to>
      <xdr:col>1</xdr:col>
      <xdr:colOff>777240</xdr:colOff>
      <xdr:row>2</xdr:row>
      <xdr:rowOff>42640</xdr:rowOff>
    </xdr:to>
    <xdr:pic>
      <xdr:nvPicPr>
        <xdr:cNvPr id="2" name="Picture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137160"/>
          <a:ext cx="842010" cy="22933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24</xdr:col>
      <xdr:colOff>213360</xdr:colOff>
      <xdr:row>0</xdr:row>
      <xdr:rowOff>83821</xdr:rowOff>
    </xdr:from>
    <xdr:to>
      <xdr:col>24</xdr:col>
      <xdr:colOff>1272540</xdr:colOff>
      <xdr:row>2</xdr:row>
      <xdr:rowOff>8015</xdr:rowOff>
    </xdr:to>
    <xdr:pic>
      <xdr:nvPicPr>
        <xdr:cNvPr id="3" name="Imagem 2">
          <a:extLst>
            <a:ext uri="{FF2B5EF4-FFF2-40B4-BE49-F238E27FC236}">
              <a16:creationId xmlns:a16="http://schemas.microsoft.com/office/drawing/2014/main" id="{00000000-0008-0000-12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7176" b="39766"/>
        <a:stretch/>
      </xdr:blipFill>
      <xdr:spPr>
        <a:xfrm>
          <a:off x="16262985" y="83821"/>
          <a:ext cx="1059180" cy="24804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228600</xdr:colOff>
      <xdr:row>43</xdr:row>
      <xdr:rowOff>53340</xdr:rowOff>
    </xdr:from>
    <xdr:to>
      <xdr:col>7</xdr:col>
      <xdr:colOff>228600</xdr:colOff>
      <xdr:row>56</xdr:row>
      <xdr:rowOff>106680</xdr:rowOff>
    </xdr:to>
    <xdr:graphicFrame macro="">
      <xdr:nvGraphicFramePr>
        <xdr:cNvPr id="2" name="Gráfico 1">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59</xdr:row>
      <xdr:rowOff>0</xdr:rowOff>
    </xdr:from>
    <xdr:to>
      <xdr:col>7</xdr:col>
      <xdr:colOff>525780</xdr:colOff>
      <xdr:row>71</xdr:row>
      <xdr:rowOff>137160</xdr:rowOff>
    </xdr:to>
    <xdr:graphicFrame macro="">
      <xdr:nvGraphicFramePr>
        <xdr:cNvPr id="3" name="Gráfico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601980</xdr:colOff>
      <xdr:row>16</xdr:row>
      <xdr:rowOff>38100</xdr:rowOff>
    </xdr:from>
    <xdr:to>
      <xdr:col>33</xdr:col>
      <xdr:colOff>792480</xdr:colOff>
      <xdr:row>29</xdr:row>
      <xdr:rowOff>60960</xdr:rowOff>
    </xdr:to>
    <xdr:graphicFrame macro="">
      <xdr:nvGraphicFramePr>
        <xdr:cNvPr id="4" name="Gráfico 3">
          <a:extLst>
            <a:ext uri="{FF2B5EF4-FFF2-40B4-BE49-F238E27FC236}">
              <a16:creationId xmlns:a16="http://schemas.microsoft.com/office/drawing/2014/main"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30480</xdr:colOff>
      <xdr:row>30</xdr:row>
      <xdr:rowOff>83820</xdr:rowOff>
    </xdr:from>
    <xdr:to>
      <xdr:col>33</xdr:col>
      <xdr:colOff>830580</xdr:colOff>
      <xdr:row>49</xdr:row>
      <xdr:rowOff>15240</xdr:rowOff>
    </xdr:to>
    <xdr:graphicFrame macro="">
      <xdr:nvGraphicFramePr>
        <xdr:cNvPr id="5" name="Gráfico 4">
          <a:extLst>
            <a:ext uri="{FF2B5EF4-FFF2-40B4-BE49-F238E27FC236}">
              <a16:creationId xmlns:a16="http://schemas.microsoft.com/office/drawing/2014/main" id="{00000000-0008-0000-1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53340</xdr:colOff>
      <xdr:row>49</xdr:row>
      <xdr:rowOff>175260</xdr:rowOff>
    </xdr:from>
    <xdr:to>
      <xdr:col>33</xdr:col>
      <xdr:colOff>853440</xdr:colOff>
      <xdr:row>68</xdr:row>
      <xdr:rowOff>106680</xdr:rowOff>
    </xdr:to>
    <xdr:graphicFrame macro="">
      <xdr:nvGraphicFramePr>
        <xdr:cNvPr id="6" name="Gráfico 5">
          <a:extLst>
            <a:ext uri="{FF2B5EF4-FFF2-40B4-BE49-F238E27FC236}">
              <a16:creationId xmlns:a16="http://schemas.microsoft.com/office/drawing/2014/main" id="{00000000-0008-0000-1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cdr:x>
      <cdr:y>0.03878</cdr:y>
    </cdr:from>
    <cdr:to>
      <cdr:x>0.26848</cdr:x>
      <cdr:y>0.16872</cdr:y>
    </cdr:to>
    <cdr:sp macro="" textlink="">
      <cdr:nvSpPr>
        <cdr:cNvPr id="2" name="Retângulo 1">
          <a:extLst xmlns:a="http://schemas.openxmlformats.org/drawingml/2006/main">
            <a:ext uri="{FF2B5EF4-FFF2-40B4-BE49-F238E27FC236}">
              <a16:creationId xmlns:a16="http://schemas.microsoft.com/office/drawing/2014/main" id="{ED1A0194-C4F5-4D12-A9AA-349F8378B97C}"/>
            </a:ext>
          </a:extLst>
        </cdr:cNvPr>
        <cdr:cNvSpPr/>
      </cdr:nvSpPr>
      <cdr:spPr>
        <a:xfrm xmlns:a="http://schemas.openxmlformats.org/drawingml/2006/main">
          <a:off x="0" y="83635"/>
          <a:ext cx="1851468" cy="280205"/>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nchor="ctr">
          <a:spAutoFit/>
        </a:bodyPr>
        <a:lstStyle xmlns:a="http://schemas.openxmlformats.org/drawingml/2006/main"/>
        <a:p xmlns:a="http://schemas.openxmlformats.org/drawingml/2006/main">
          <a:pPr algn="ctr"/>
          <a:r>
            <a:rPr lang="pt-BR" sz="1200" b="0" cap="none" spc="0">
              <a:ln w="0"/>
              <a:solidFill>
                <a:schemeClr val="tx1"/>
              </a:solidFill>
              <a:effectLst>
                <a:outerShdw blurRad="38100" dist="19050" dir="2700000" algn="tl" rotWithShape="0">
                  <a:schemeClr val="dk1">
                    <a:alpha val="40000"/>
                  </a:schemeClr>
                </a:outerShdw>
              </a:effectLst>
            </a:rPr>
            <a:t>CURVA</a:t>
          </a:r>
          <a:r>
            <a:rPr lang="pt-BR" sz="1200" b="0" cap="none" spc="0" baseline="0">
              <a:ln w="0"/>
              <a:solidFill>
                <a:schemeClr val="tx1"/>
              </a:solidFill>
              <a:effectLst>
                <a:outerShdw blurRad="38100" dist="19050" dir="2700000" algn="tl" rotWithShape="0">
                  <a:schemeClr val="dk1">
                    <a:alpha val="40000"/>
                  </a:schemeClr>
                </a:outerShdw>
              </a:effectLst>
            </a:rPr>
            <a:t> DE </a:t>
          </a:r>
          <a:r>
            <a:rPr lang="pt-BR" sz="1200" b="0" cap="none" spc="0">
              <a:ln w="0"/>
              <a:solidFill>
                <a:schemeClr val="tx1"/>
              </a:solidFill>
              <a:effectLst>
                <a:outerShdw blurRad="38100" dist="19050" dir="2700000" algn="tl" rotWithShape="0">
                  <a:schemeClr val="dk1">
                    <a:alpha val="40000"/>
                  </a:schemeClr>
                </a:outerShdw>
              </a:effectLst>
            </a:rPr>
            <a:t>AVANÇO FÍSICO</a:t>
          </a: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cdr:y>
    </cdr:from>
    <cdr:to>
      <cdr:x>0.33556</cdr:x>
      <cdr:y>0.10912</cdr:y>
    </cdr:to>
    <cdr:sp macro="" textlink="">
      <cdr:nvSpPr>
        <cdr:cNvPr id="2" name="Retângulo 1">
          <a:extLst xmlns:a="http://schemas.openxmlformats.org/drawingml/2006/main">
            <a:ext uri="{FF2B5EF4-FFF2-40B4-BE49-F238E27FC236}">
              <a16:creationId xmlns:a16="http://schemas.microsoft.com/office/drawing/2014/main" id="{ED1A0194-C4F5-4D12-A9AA-349F8378B97C}"/>
            </a:ext>
          </a:extLst>
        </cdr:cNvPr>
        <cdr:cNvSpPr/>
      </cdr:nvSpPr>
      <cdr:spPr>
        <a:xfrm xmlns:a="http://schemas.openxmlformats.org/drawingml/2006/main">
          <a:off x="0" y="0"/>
          <a:ext cx="2262946" cy="371667"/>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nchor="ctr">
          <a:spAutoFit/>
        </a:bodyPr>
        <a:lstStyle xmlns:a="http://schemas.openxmlformats.org/drawingml/2006/main"/>
        <a:p xmlns:a="http://schemas.openxmlformats.org/drawingml/2006/main">
          <a:pPr algn="ctr"/>
          <a:r>
            <a:rPr lang="pt-BR" sz="1200" b="0" cap="none" spc="0">
              <a:ln w="0"/>
              <a:solidFill>
                <a:schemeClr val="tx1"/>
              </a:solidFill>
              <a:effectLst>
                <a:outerShdw blurRad="38100" dist="19050" dir="2700000" algn="tl" rotWithShape="0">
                  <a:schemeClr val="dk1">
                    <a:alpha val="40000"/>
                  </a:schemeClr>
                </a:outerShdw>
              </a:effectLst>
            </a:rPr>
            <a:t>CURVA</a:t>
          </a:r>
          <a:r>
            <a:rPr lang="pt-BR" sz="1200" b="0" cap="none" spc="0" baseline="0">
              <a:ln w="0"/>
              <a:solidFill>
                <a:schemeClr val="tx1"/>
              </a:solidFill>
              <a:effectLst>
                <a:outerShdw blurRad="38100" dist="19050" dir="2700000" algn="tl" rotWithShape="0">
                  <a:schemeClr val="dk1">
                    <a:alpha val="40000"/>
                  </a:schemeClr>
                </a:outerShdw>
              </a:effectLst>
            </a:rPr>
            <a:t> DE </a:t>
          </a:r>
          <a:r>
            <a:rPr lang="pt-BR" sz="1200" b="0" cap="none" spc="0">
              <a:ln w="0"/>
              <a:solidFill>
                <a:schemeClr val="tx1"/>
              </a:solidFill>
              <a:effectLst>
                <a:outerShdw blurRad="38100" dist="19050" dir="2700000" algn="tl" rotWithShape="0">
                  <a:schemeClr val="dk1">
                    <a:alpha val="40000"/>
                  </a:schemeClr>
                </a:outerShdw>
              </a:effectLst>
            </a:rPr>
            <a:t>AVANÇO FINANCEIRO</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0.01343</cdr:y>
    </cdr:from>
    <cdr:to>
      <cdr:x>0.41739</cdr:x>
      <cdr:y>0.09569</cdr:y>
    </cdr:to>
    <cdr:sp macro="" textlink="">
      <cdr:nvSpPr>
        <cdr:cNvPr id="2" name="Retângulo 1">
          <a:extLst xmlns:a="http://schemas.openxmlformats.org/drawingml/2006/main">
            <a:ext uri="{FF2B5EF4-FFF2-40B4-BE49-F238E27FC236}">
              <a16:creationId xmlns:a16="http://schemas.microsoft.com/office/drawing/2014/main" id="{ED1A0194-C4F5-4D12-A9AA-349F8378B97C}"/>
            </a:ext>
          </a:extLst>
        </cdr:cNvPr>
        <cdr:cNvSpPr/>
      </cdr:nvSpPr>
      <cdr:spPr>
        <a:xfrm xmlns:a="http://schemas.openxmlformats.org/drawingml/2006/main">
          <a:off x="-50943" y="45736"/>
          <a:ext cx="2814745" cy="280205"/>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nchor="ctr">
          <a:spAutoFit/>
        </a:bodyPr>
        <a:lstStyle xmlns:a="http://schemas.openxmlformats.org/drawingml/2006/main"/>
        <a:p xmlns:a="http://schemas.openxmlformats.org/drawingml/2006/main">
          <a:pPr algn="ctr"/>
          <a:r>
            <a:rPr lang="pt-BR" sz="1200" b="0" cap="none" spc="0">
              <a:ln w="0"/>
              <a:solidFill>
                <a:schemeClr val="tx1"/>
              </a:solidFill>
              <a:effectLst>
                <a:outerShdw blurRad="38100" dist="19050" dir="2700000" algn="tl" rotWithShape="0">
                  <a:schemeClr val="dk1">
                    <a:alpha val="40000"/>
                  </a:schemeClr>
                </a:outerShdw>
              </a:effectLst>
            </a:rPr>
            <a:t>DESEMBOLSO</a:t>
          </a:r>
          <a:r>
            <a:rPr lang="pt-BR" sz="1200" b="0" cap="none" spc="0" baseline="0">
              <a:ln w="0"/>
              <a:solidFill>
                <a:schemeClr val="tx1"/>
              </a:solidFill>
              <a:effectLst>
                <a:outerShdw blurRad="38100" dist="19050" dir="2700000" algn="tl" rotWithShape="0">
                  <a:schemeClr val="dk1">
                    <a:alpha val="40000"/>
                  </a:schemeClr>
                </a:outerShdw>
              </a:effectLst>
            </a:rPr>
            <a:t> x CUSTO SEM ISOLAMENTO</a:t>
          </a:r>
          <a:endParaRPr lang="pt-BR" sz="1200" b="0" cap="none" spc="0">
            <a:ln w="0"/>
            <a:solidFill>
              <a:schemeClr val="tx1"/>
            </a:solidFill>
            <a:effectLst>
              <a:outerShdw blurRad="38100" dist="19050" dir="2700000" algn="tl" rotWithShape="0">
                <a:schemeClr val="dk1">
                  <a:alpha val="40000"/>
                </a:schemeClr>
              </a:outerShdw>
            </a:effectLst>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228600</xdr:colOff>
      <xdr:row>43</xdr:row>
      <xdr:rowOff>53340</xdr:rowOff>
    </xdr:from>
    <xdr:to>
      <xdr:col>7</xdr:col>
      <xdr:colOff>228600</xdr:colOff>
      <xdr:row>56</xdr:row>
      <xdr:rowOff>106680</xdr:rowOff>
    </xdr:to>
    <xdr:graphicFrame macro="">
      <xdr:nvGraphicFramePr>
        <xdr:cNvPr id="2" name="Gráfico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59</xdr:row>
      <xdr:rowOff>0</xdr:rowOff>
    </xdr:from>
    <xdr:to>
      <xdr:col>7</xdr:col>
      <xdr:colOff>525780</xdr:colOff>
      <xdr:row>71</xdr:row>
      <xdr:rowOff>137160</xdr:rowOff>
    </xdr:to>
    <xdr:graphicFrame macro="">
      <xdr:nvGraphicFramePr>
        <xdr:cNvPr id="3" name="Gráfico 2">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601980</xdr:colOff>
      <xdr:row>16</xdr:row>
      <xdr:rowOff>38100</xdr:rowOff>
    </xdr:from>
    <xdr:to>
      <xdr:col>33</xdr:col>
      <xdr:colOff>792480</xdr:colOff>
      <xdr:row>29</xdr:row>
      <xdr:rowOff>60960</xdr:rowOff>
    </xdr:to>
    <xdr:graphicFrame macro="">
      <xdr:nvGraphicFramePr>
        <xdr:cNvPr id="4" name="Gráfico 3">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27</xdr:col>
      <xdr:colOff>68580</xdr:colOff>
      <xdr:row>32</xdr:row>
      <xdr:rowOff>55245</xdr:rowOff>
    </xdr:from>
    <xdr:to>
      <xdr:col>33</xdr:col>
      <xdr:colOff>868680</xdr:colOff>
      <xdr:row>50</xdr:row>
      <xdr:rowOff>177165</xdr:rowOff>
    </xdr:to>
    <xdr:graphicFrame macro="">
      <xdr:nvGraphicFramePr>
        <xdr:cNvPr id="5" name="Gráfico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27</xdr:col>
      <xdr:colOff>53340</xdr:colOff>
      <xdr:row>49</xdr:row>
      <xdr:rowOff>175260</xdr:rowOff>
    </xdr:from>
    <xdr:to>
      <xdr:col>33</xdr:col>
      <xdr:colOff>853440</xdr:colOff>
      <xdr:row>68</xdr:row>
      <xdr:rowOff>106680</xdr:rowOff>
    </xdr:to>
    <xdr:graphicFrame macro="">
      <xdr:nvGraphicFramePr>
        <xdr:cNvPr id="6" name="Gráfico 5">
          <a:extLst>
            <a:ext uri="{FF2B5EF4-FFF2-40B4-BE49-F238E27FC236}">
              <a16:creationId xmlns:a16="http://schemas.microsoft.com/office/drawing/2014/main" id="{00000000-0008-0000-1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33</xdr:col>
      <xdr:colOff>868680</xdr:colOff>
      <xdr:row>15</xdr:row>
      <xdr:rowOff>160020</xdr:rowOff>
    </xdr:from>
    <xdr:to>
      <xdr:col>40</xdr:col>
      <xdr:colOff>327660</xdr:colOff>
      <xdr:row>29</xdr:row>
      <xdr:rowOff>175260</xdr:rowOff>
    </xdr:to>
    <xdr:graphicFrame macro="">
      <xdr:nvGraphicFramePr>
        <xdr:cNvPr id="7" name="Gráfico 6">
          <a:extLst>
            <a:ext uri="{FF2B5EF4-FFF2-40B4-BE49-F238E27FC236}">
              <a16:creationId xmlns:a16="http://schemas.microsoft.com/office/drawing/2014/main" id="{00000000-0008-0000-14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cdr:x>
      <cdr:y>0.03878</cdr:y>
    </cdr:from>
    <cdr:to>
      <cdr:x>0.26848</cdr:x>
      <cdr:y>0.16872</cdr:y>
    </cdr:to>
    <cdr:sp macro="" textlink="">
      <cdr:nvSpPr>
        <cdr:cNvPr id="2" name="Retângulo 1">
          <a:extLst xmlns:a="http://schemas.openxmlformats.org/drawingml/2006/main">
            <a:ext uri="{FF2B5EF4-FFF2-40B4-BE49-F238E27FC236}">
              <a16:creationId xmlns:a16="http://schemas.microsoft.com/office/drawing/2014/main" id="{ED1A0194-C4F5-4D12-A9AA-349F8378B97C}"/>
            </a:ext>
          </a:extLst>
        </cdr:cNvPr>
        <cdr:cNvSpPr/>
      </cdr:nvSpPr>
      <cdr:spPr>
        <a:xfrm xmlns:a="http://schemas.openxmlformats.org/drawingml/2006/main">
          <a:off x="0" y="83635"/>
          <a:ext cx="1851468" cy="280205"/>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nchor="ctr">
          <a:spAutoFit/>
        </a:bodyPr>
        <a:lstStyle xmlns:a="http://schemas.openxmlformats.org/drawingml/2006/main"/>
        <a:p xmlns:a="http://schemas.openxmlformats.org/drawingml/2006/main">
          <a:pPr algn="ctr"/>
          <a:r>
            <a:rPr lang="pt-BR" sz="1200" b="0" cap="none" spc="0">
              <a:ln w="0"/>
              <a:solidFill>
                <a:schemeClr val="tx1"/>
              </a:solidFill>
              <a:effectLst>
                <a:outerShdw blurRad="38100" dist="19050" dir="2700000" algn="tl" rotWithShape="0">
                  <a:schemeClr val="dk1">
                    <a:alpha val="40000"/>
                  </a:schemeClr>
                </a:outerShdw>
              </a:effectLst>
            </a:rPr>
            <a:t>CURVA</a:t>
          </a:r>
          <a:r>
            <a:rPr lang="pt-BR" sz="1200" b="0" cap="none" spc="0" baseline="0">
              <a:ln w="0"/>
              <a:solidFill>
                <a:schemeClr val="tx1"/>
              </a:solidFill>
              <a:effectLst>
                <a:outerShdw blurRad="38100" dist="19050" dir="2700000" algn="tl" rotWithShape="0">
                  <a:schemeClr val="dk1">
                    <a:alpha val="40000"/>
                  </a:schemeClr>
                </a:outerShdw>
              </a:effectLst>
            </a:rPr>
            <a:t> DE </a:t>
          </a:r>
          <a:r>
            <a:rPr lang="pt-BR" sz="1200" b="0" cap="none" spc="0">
              <a:ln w="0"/>
              <a:solidFill>
                <a:schemeClr val="tx1"/>
              </a:solidFill>
              <a:effectLst>
                <a:outerShdw blurRad="38100" dist="19050" dir="2700000" algn="tl" rotWithShape="0">
                  <a:schemeClr val="dk1">
                    <a:alpha val="40000"/>
                  </a:schemeClr>
                </a:outerShdw>
              </a:effectLst>
            </a:rPr>
            <a:t>AVANÇO FÍSICO</a:t>
          </a:r>
        </a:p>
      </cdr:txBody>
    </cdr:sp>
  </cdr:relSizeAnchor>
</c:userShapes>
</file>

<file path=xl/drawings/drawing2.xml><?xml version="1.0" encoding="utf-8"?>
<c:userShapes xmlns:c="http://schemas.openxmlformats.org/drawingml/2006/chart">
  <cdr:relSizeAnchor xmlns:cdr="http://schemas.openxmlformats.org/drawingml/2006/chartDrawing">
    <cdr:from>
      <cdr:x>0.34663</cdr:x>
      <cdr:y>0</cdr:y>
    </cdr:from>
    <cdr:to>
      <cdr:x>0.69692</cdr:x>
      <cdr:y>0.12754</cdr:y>
    </cdr:to>
    <cdr:sp macro="" textlink="">
      <cdr:nvSpPr>
        <cdr:cNvPr id="2" name="Retângulo 1">
          <a:extLst xmlns:a="http://schemas.openxmlformats.org/drawingml/2006/main">
            <a:ext uri="{FF2B5EF4-FFF2-40B4-BE49-F238E27FC236}">
              <a16:creationId xmlns:a16="http://schemas.microsoft.com/office/drawing/2014/main" id="{ED1A0194-C4F5-4D12-A9AA-349F8378B97C}"/>
            </a:ext>
          </a:extLst>
        </cdr:cNvPr>
        <cdr:cNvSpPr/>
      </cdr:nvSpPr>
      <cdr:spPr>
        <a:xfrm xmlns:a="http://schemas.openxmlformats.org/drawingml/2006/main">
          <a:off x="3277926" y="0"/>
          <a:ext cx="3312510" cy="333519"/>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nchor="ctr">
          <a:noAutofit/>
        </a:bodyPr>
        <a:lstStyle xmlns:a="http://schemas.openxmlformats.org/drawingml/2006/main"/>
        <a:p xmlns:a="http://schemas.openxmlformats.org/drawingml/2006/main">
          <a:pPr algn="ctr"/>
          <a:r>
            <a:rPr lang="pt-BR" sz="1400" b="1" cap="none" spc="0">
              <a:ln w="0"/>
              <a:solidFill>
                <a:srgbClr val="002060"/>
              </a:solidFill>
              <a:effectLst>
                <a:outerShdw blurRad="38100" dist="19050" dir="2700000" algn="tl" rotWithShape="0">
                  <a:schemeClr val="dk1">
                    <a:alpha val="40000"/>
                  </a:schemeClr>
                </a:outerShdw>
              </a:effectLst>
            </a:rPr>
            <a:t>DESEMBOLSO</a:t>
          </a:r>
          <a:r>
            <a:rPr lang="pt-BR" sz="1400" b="1" cap="none" spc="0" baseline="0">
              <a:ln w="0"/>
              <a:solidFill>
                <a:srgbClr val="002060"/>
              </a:solidFill>
              <a:effectLst>
                <a:outerShdw blurRad="38100" dist="19050" dir="2700000" algn="tl" rotWithShape="0">
                  <a:schemeClr val="dk1">
                    <a:alpha val="40000"/>
                  </a:schemeClr>
                </a:outerShdw>
              </a:effectLst>
            </a:rPr>
            <a:t> x CUSTO </a:t>
          </a:r>
          <a:r>
            <a:rPr lang="pt-BR" sz="1400" b="1" cap="none" spc="0" baseline="0">
              <a:ln w="0"/>
              <a:solidFill>
                <a:srgbClr val="002060"/>
              </a:solidFill>
              <a:effectLst>
                <a:outerShdw blurRad="38100" dist="19050" dir="2700000" algn="tl" rotWithShape="0">
                  <a:schemeClr val="dk1">
                    <a:alpha val="40000"/>
                  </a:schemeClr>
                </a:outerShdw>
              </a:effectLst>
              <a:latin typeface="+mn-lt"/>
              <a:ea typeface="+mn-ea"/>
              <a:cs typeface="+mn-cs"/>
            </a:rPr>
            <a:t>SEM</a:t>
          </a:r>
          <a:r>
            <a:rPr lang="pt-BR" sz="1400" b="1" cap="none" spc="0" baseline="0">
              <a:ln w="0"/>
              <a:solidFill>
                <a:srgbClr val="002060"/>
              </a:solidFill>
              <a:effectLst>
                <a:outerShdw blurRad="38100" dist="19050" dir="2700000" algn="tl" rotWithShape="0">
                  <a:schemeClr val="dk1">
                    <a:alpha val="40000"/>
                  </a:schemeClr>
                </a:outerShdw>
              </a:effectLst>
            </a:rPr>
            <a:t> ISOLAMENTO</a:t>
          </a:r>
          <a:endParaRPr lang="pt-BR" sz="1400" b="1" cap="none" spc="0">
            <a:ln w="0"/>
            <a:solidFill>
              <a:srgbClr val="002060"/>
            </a:solidFill>
            <a:effectLst>
              <a:outerShdw blurRad="38100" dist="19050" dir="2700000" algn="tl" rotWithShape="0">
                <a:schemeClr val="dk1">
                  <a:alpha val="40000"/>
                </a:schemeClr>
              </a:outerShdw>
            </a:effectLst>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cdr:x>
      <cdr:y>0</cdr:y>
    </cdr:from>
    <cdr:to>
      <cdr:x>0.33556</cdr:x>
      <cdr:y>0.10912</cdr:y>
    </cdr:to>
    <cdr:sp macro="" textlink="">
      <cdr:nvSpPr>
        <cdr:cNvPr id="2" name="Retângulo 1">
          <a:extLst xmlns:a="http://schemas.openxmlformats.org/drawingml/2006/main">
            <a:ext uri="{FF2B5EF4-FFF2-40B4-BE49-F238E27FC236}">
              <a16:creationId xmlns:a16="http://schemas.microsoft.com/office/drawing/2014/main" id="{ED1A0194-C4F5-4D12-A9AA-349F8378B97C}"/>
            </a:ext>
          </a:extLst>
        </cdr:cNvPr>
        <cdr:cNvSpPr/>
      </cdr:nvSpPr>
      <cdr:spPr>
        <a:xfrm xmlns:a="http://schemas.openxmlformats.org/drawingml/2006/main">
          <a:off x="0" y="0"/>
          <a:ext cx="2262946" cy="371667"/>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nchor="ctr">
          <a:spAutoFit/>
        </a:bodyPr>
        <a:lstStyle xmlns:a="http://schemas.openxmlformats.org/drawingml/2006/main"/>
        <a:p xmlns:a="http://schemas.openxmlformats.org/drawingml/2006/main">
          <a:pPr algn="ctr"/>
          <a:r>
            <a:rPr lang="pt-BR" sz="1200" b="0" cap="none" spc="0">
              <a:ln w="0"/>
              <a:solidFill>
                <a:schemeClr val="tx1"/>
              </a:solidFill>
              <a:effectLst>
                <a:outerShdw blurRad="38100" dist="19050" dir="2700000" algn="tl" rotWithShape="0">
                  <a:schemeClr val="dk1">
                    <a:alpha val="40000"/>
                  </a:schemeClr>
                </a:outerShdw>
              </a:effectLst>
            </a:rPr>
            <a:t>CURVA</a:t>
          </a:r>
          <a:r>
            <a:rPr lang="pt-BR" sz="1200" b="0" cap="none" spc="0" baseline="0">
              <a:ln w="0"/>
              <a:solidFill>
                <a:schemeClr val="tx1"/>
              </a:solidFill>
              <a:effectLst>
                <a:outerShdw blurRad="38100" dist="19050" dir="2700000" algn="tl" rotWithShape="0">
                  <a:schemeClr val="dk1">
                    <a:alpha val="40000"/>
                  </a:schemeClr>
                </a:outerShdw>
              </a:effectLst>
            </a:rPr>
            <a:t> DE </a:t>
          </a:r>
          <a:r>
            <a:rPr lang="pt-BR" sz="1200" b="0" cap="none" spc="0">
              <a:ln w="0"/>
              <a:solidFill>
                <a:schemeClr val="tx1"/>
              </a:solidFill>
              <a:effectLst>
                <a:outerShdw blurRad="38100" dist="19050" dir="2700000" algn="tl" rotWithShape="0">
                  <a:schemeClr val="dk1">
                    <a:alpha val="40000"/>
                  </a:schemeClr>
                </a:outerShdw>
              </a:effectLst>
            </a:rPr>
            <a:t>AVANÇO FINANCEIRO</a:t>
          </a:r>
        </a:p>
      </cdr:txBody>
    </cdr:sp>
  </cdr:relSizeAnchor>
</c:userShapes>
</file>

<file path=xl/drawings/drawing21.xml><?xml version="1.0" encoding="utf-8"?>
<c:userShapes xmlns:c="http://schemas.openxmlformats.org/drawingml/2006/chart">
  <cdr:relSizeAnchor xmlns:cdr="http://schemas.openxmlformats.org/drawingml/2006/chartDrawing">
    <cdr:from>
      <cdr:x>0</cdr:x>
      <cdr:y>0.01343</cdr:y>
    </cdr:from>
    <cdr:to>
      <cdr:x>0.41739</cdr:x>
      <cdr:y>0.09569</cdr:y>
    </cdr:to>
    <cdr:sp macro="" textlink="">
      <cdr:nvSpPr>
        <cdr:cNvPr id="2" name="Retângulo 1">
          <a:extLst xmlns:a="http://schemas.openxmlformats.org/drawingml/2006/main">
            <a:ext uri="{FF2B5EF4-FFF2-40B4-BE49-F238E27FC236}">
              <a16:creationId xmlns:a16="http://schemas.microsoft.com/office/drawing/2014/main" id="{ED1A0194-C4F5-4D12-A9AA-349F8378B97C}"/>
            </a:ext>
          </a:extLst>
        </cdr:cNvPr>
        <cdr:cNvSpPr/>
      </cdr:nvSpPr>
      <cdr:spPr>
        <a:xfrm xmlns:a="http://schemas.openxmlformats.org/drawingml/2006/main">
          <a:off x="-50943" y="45736"/>
          <a:ext cx="2814745" cy="280205"/>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nchor="ctr">
          <a:spAutoFit/>
        </a:bodyPr>
        <a:lstStyle xmlns:a="http://schemas.openxmlformats.org/drawingml/2006/main"/>
        <a:p xmlns:a="http://schemas.openxmlformats.org/drawingml/2006/main">
          <a:pPr algn="ctr"/>
          <a:r>
            <a:rPr lang="pt-BR" sz="1200" b="0" cap="none" spc="0">
              <a:ln w="0"/>
              <a:solidFill>
                <a:schemeClr val="tx1"/>
              </a:solidFill>
              <a:effectLst>
                <a:outerShdw blurRad="38100" dist="19050" dir="2700000" algn="tl" rotWithShape="0">
                  <a:schemeClr val="dk1">
                    <a:alpha val="40000"/>
                  </a:schemeClr>
                </a:outerShdw>
              </a:effectLst>
            </a:rPr>
            <a:t>DESEMBOLSO</a:t>
          </a:r>
          <a:r>
            <a:rPr lang="pt-BR" sz="1200" b="0" cap="none" spc="0" baseline="0">
              <a:ln w="0"/>
              <a:solidFill>
                <a:schemeClr val="tx1"/>
              </a:solidFill>
              <a:effectLst>
                <a:outerShdw blurRad="38100" dist="19050" dir="2700000" algn="tl" rotWithShape="0">
                  <a:schemeClr val="dk1">
                    <a:alpha val="40000"/>
                  </a:schemeClr>
                </a:outerShdw>
              </a:effectLst>
            </a:rPr>
            <a:t> x CUSTO SEM ISOLAMENTO</a:t>
          </a:r>
          <a:endParaRPr lang="pt-BR" sz="1200" b="0" cap="none" spc="0">
            <a:ln w="0"/>
            <a:solidFill>
              <a:schemeClr val="tx1"/>
            </a:solidFill>
            <a:effectLst>
              <a:outerShdw blurRad="38100" dist="19050" dir="2700000" algn="tl" rotWithShape="0">
                <a:schemeClr val="dk1">
                  <a:alpha val="40000"/>
                </a:schemeClr>
              </a:outerShdw>
            </a:effectLst>
          </a:endParaRPr>
        </a:p>
      </cdr:txBody>
    </cdr:sp>
  </cdr:relSizeAnchor>
</c:userShapes>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26</xdr:col>
          <xdr:colOff>95250</xdr:colOff>
          <xdr:row>2</xdr:row>
          <xdr:rowOff>114300</xdr:rowOff>
        </xdr:from>
        <xdr:to>
          <xdr:col>42</xdr:col>
          <xdr:colOff>104775</xdr:colOff>
          <xdr:row>5</xdr:row>
          <xdr:rowOff>57150</xdr:rowOff>
        </xdr:to>
        <xdr:grpSp>
          <xdr:nvGrpSpPr>
            <xdr:cNvPr id="2" name="Grupo 1">
              <a:extLst>
                <a:ext uri="{FF2B5EF4-FFF2-40B4-BE49-F238E27FC236}">
                  <a16:creationId xmlns:a16="http://schemas.microsoft.com/office/drawing/2014/main" id="{00000000-0008-0000-0100-000002000000}"/>
                </a:ext>
              </a:extLst>
            </xdr:cNvPr>
            <xdr:cNvGrpSpPr>
              <a:grpSpLocks/>
            </xdr:cNvGrpSpPr>
          </xdr:nvGrpSpPr>
          <xdr:grpSpPr bwMode="auto">
            <a:xfrm>
              <a:off x="5292090" y="777240"/>
              <a:ext cx="3347085" cy="514350"/>
              <a:chOff x="180975" y="590551"/>
              <a:chExt cx="2905125" cy="514350"/>
            </a:xfrm>
          </xdr:grpSpPr>
          <xdr:sp macro="" textlink="">
            <xdr:nvSpPr>
              <xdr:cNvPr id="19457" name="Group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180975" y="590551"/>
                <a:ext cx="2905125" cy="51435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pt-BR" sz="800" b="0" i="0" u="none" strike="noStrike" baseline="0">
                    <a:solidFill>
                      <a:srgbClr val="000000"/>
                    </a:solidFill>
                    <a:latin typeface="Tahoma"/>
                    <a:ea typeface="Tahoma"/>
                    <a:cs typeface="Tahoma"/>
                  </a:rPr>
                  <a:t>CONDIÇÃO DE EXECUÇÃO DO SERVIÇO: </a:t>
                </a:r>
              </a:p>
            </xdr:txBody>
          </xdr:sp>
          <xdr:sp macro="" textlink="">
            <xdr:nvSpPr>
              <xdr:cNvPr id="19458" name="Option Button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228600" y="692512"/>
                <a:ext cx="828000" cy="360000"/>
              </a:xfrm>
              <a:prstGeom prst="rect">
                <a:avLst/>
              </a:prstGeom>
              <a:solidFill>
                <a:srgbClr val="C0C0C0" mc:Ignorable="a14" a14:legacySpreadsheetColorIndex="22"/>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pt-BR" sz="800" b="0" i="0" u="none" strike="noStrike" baseline="0">
                    <a:solidFill>
                      <a:srgbClr val="000000"/>
                    </a:solidFill>
                    <a:latin typeface="Tahoma"/>
                    <a:ea typeface="Tahoma"/>
                    <a:cs typeface="Tahoma"/>
                  </a:rPr>
                  <a:t>NORMAL</a:t>
                </a:r>
              </a:p>
            </xdr:txBody>
          </xdr:sp>
          <xdr:sp macro="" textlink="">
            <xdr:nvSpPr>
              <xdr:cNvPr id="19459" name="Option Button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1200150" y="692512"/>
                <a:ext cx="828000" cy="360000"/>
              </a:xfrm>
              <a:prstGeom prst="rect">
                <a:avLst/>
              </a:prstGeom>
              <a:solidFill>
                <a:srgbClr val="C0C0C0" mc:Ignorable="a14" a14:legacySpreadsheetColorIndex="22"/>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pt-BR" sz="800" b="0" i="0" u="none" strike="noStrike" baseline="0">
                    <a:solidFill>
                      <a:srgbClr val="000000"/>
                    </a:solidFill>
                    <a:latin typeface="Tahoma"/>
                    <a:ea typeface="Tahoma"/>
                    <a:cs typeface="Tahoma"/>
                  </a:rPr>
                  <a:t>EMERGÊNCIA</a:t>
                </a:r>
              </a:p>
            </xdr:txBody>
          </xdr:sp>
          <xdr:sp macro="" textlink="">
            <xdr:nvSpPr>
              <xdr:cNvPr id="19460" name="Option Button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2200275" y="692512"/>
                <a:ext cx="828000" cy="360000"/>
              </a:xfrm>
              <a:prstGeom prst="rect">
                <a:avLst/>
              </a:prstGeom>
              <a:solidFill>
                <a:srgbClr val="C0C0C0" mc:Ignorable="a14" a14:legacySpreadsheetColorIndex="22"/>
              </a:solidFill>
              <a:ln>
                <a:noFill/>
              </a:ln>
              <a:extLs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pt-BR" sz="800" b="0" i="0" u="none" strike="noStrike" baseline="0">
                    <a:solidFill>
                      <a:srgbClr val="000000"/>
                    </a:solidFill>
                    <a:latin typeface="Tahoma"/>
                    <a:ea typeface="Tahoma"/>
                    <a:cs typeface="Tahoma"/>
                  </a:rPr>
                  <a:t>PARADA</a:t>
                </a:r>
              </a:p>
            </xdr:txBody>
          </xdr:sp>
        </xdr:grpSp>
        <xdr:clientData/>
      </xdr:twoCellAnchor>
    </mc:Choice>
    <mc:Fallback/>
  </mc:AlternateContent>
  <xdr:twoCellAnchor>
    <xdr:from>
      <xdr:col>35</xdr:col>
      <xdr:colOff>47625</xdr:colOff>
      <xdr:row>0</xdr:row>
      <xdr:rowOff>0</xdr:rowOff>
    </xdr:from>
    <xdr:to>
      <xdr:col>42</xdr:col>
      <xdr:colOff>142875</xdr:colOff>
      <xdr:row>0</xdr:row>
      <xdr:rowOff>485775</xdr:rowOff>
    </xdr:to>
    <xdr:sp macro="" textlink="">
      <xdr:nvSpPr>
        <xdr:cNvPr id="7" name="Object 5" hidden="1">
          <a:extLst>
            <a:ext uri="{63B3BB69-23CF-44E3-9099-C40C66FF867C}">
              <a14:compatExt xmlns:a14="http://schemas.microsoft.com/office/drawing/2010/main" spid="_x0000_s100357"/>
            </a:ext>
            <a:ext uri="{FF2B5EF4-FFF2-40B4-BE49-F238E27FC236}">
              <a16:creationId xmlns:a16="http://schemas.microsoft.com/office/drawing/2014/main" id="{00000000-0008-0000-0100-000007000000}"/>
            </a:ext>
          </a:extLst>
        </xdr:cNvPr>
        <xdr:cNvSpPr/>
      </xdr:nvSpPr>
      <xdr:spPr bwMode="auto">
        <a:xfrm>
          <a:off x="7210425" y="0"/>
          <a:ext cx="1362075"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139065</xdr:colOff>
      <xdr:row>0</xdr:row>
      <xdr:rowOff>99061</xdr:rowOff>
    </xdr:from>
    <xdr:to>
      <xdr:col>8</xdr:col>
      <xdr:colOff>60960</xdr:colOff>
      <xdr:row>0</xdr:row>
      <xdr:rowOff>475167</xdr:rowOff>
    </xdr:to>
    <xdr:pic>
      <xdr:nvPicPr>
        <xdr:cNvPr id="8" name="Picture 5">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8665" y="99061"/>
          <a:ext cx="1188720" cy="3761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0</xdr:colOff>
      <xdr:row>14</xdr:row>
      <xdr:rowOff>0</xdr:rowOff>
    </xdr:from>
    <xdr:ext cx="304800" cy="304620"/>
    <xdr:sp macro="" textlink="">
      <xdr:nvSpPr>
        <xdr:cNvPr id="2" name="AutoShape 3" descr="blob:https://web.whatsapp.com/d439b33c-462a-4bc5-b6c5-51bc7b8bd7b9">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2095500" y="2914650"/>
          <a:ext cx="304800" cy="304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8</xdr:row>
      <xdr:rowOff>0</xdr:rowOff>
    </xdr:from>
    <xdr:to>
      <xdr:col>0</xdr:col>
      <xdr:colOff>304800</xdr:colOff>
      <xdr:row>9</xdr:row>
      <xdr:rowOff>114300</xdr:rowOff>
    </xdr:to>
    <xdr:sp macro="" textlink="">
      <xdr:nvSpPr>
        <xdr:cNvPr id="3" name="AutoShape 3">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0" y="1771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304800</xdr:colOff>
      <xdr:row>11</xdr:row>
      <xdr:rowOff>114300</xdr:rowOff>
    </xdr:to>
    <xdr:sp macro="" textlink="">
      <xdr:nvSpPr>
        <xdr:cNvPr id="4" name="AutoShape 4">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1047750" y="21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10</xdr:row>
      <xdr:rowOff>0</xdr:rowOff>
    </xdr:from>
    <xdr:to>
      <xdr:col>1</xdr:col>
      <xdr:colOff>304800</xdr:colOff>
      <xdr:row>11</xdr:row>
      <xdr:rowOff>114300</xdr:rowOff>
    </xdr:to>
    <xdr:sp macro="" textlink="">
      <xdr:nvSpPr>
        <xdr:cNvPr id="5" name="AutoShape 5">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1047750" y="215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xdr:row>
      <xdr:rowOff>0</xdr:rowOff>
    </xdr:from>
    <xdr:to>
      <xdr:col>1</xdr:col>
      <xdr:colOff>304800</xdr:colOff>
      <xdr:row>8</xdr:row>
      <xdr:rowOff>114300</xdr:rowOff>
    </xdr:to>
    <xdr:sp macro="" textlink="">
      <xdr:nvSpPr>
        <xdr:cNvPr id="6" name="AutoShape 6">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1047750" y="158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7</xdr:row>
      <xdr:rowOff>0</xdr:rowOff>
    </xdr:from>
    <xdr:to>
      <xdr:col>1</xdr:col>
      <xdr:colOff>304800</xdr:colOff>
      <xdr:row>8</xdr:row>
      <xdr:rowOff>114300</xdr:rowOff>
    </xdr:to>
    <xdr:sp macro="" textlink="">
      <xdr:nvSpPr>
        <xdr:cNvPr id="7" name="AutoShape 7">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1047750" y="158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55</xdr:row>
      <xdr:rowOff>0</xdr:rowOff>
    </xdr:from>
    <xdr:ext cx="304800" cy="304620"/>
    <xdr:sp macro="" textlink="">
      <xdr:nvSpPr>
        <xdr:cNvPr id="8" name="AutoShape 3" descr="blob:https://web.whatsapp.com/d439b33c-462a-4bc5-b6c5-51bc7b8bd7b9">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2095500" y="10991850"/>
          <a:ext cx="304800" cy="304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55</xdr:row>
      <xdr:rowOff>0</xdr:rowOff>
    </xdr:from>
    <xdr:ext cx="304800" cy="304800"/>
    <xdr:sp macro="" textlink="">
      <xdr:nvSpPr>
        <xdr:cNvPr id="9" name="AutoShape 3">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55</xdr:row>
      <xdr:rowOff>0</xdr:rowOff>
    </xdr:from>
    <xdr:ext cx="304800" cy="304800"/>
    <xdr:sp macro="" textlink="">
      <xdr:nvSpPr>
        <xdr:cNvPr id="10" name="AutoShape 4">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104775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55</xdr:row>
      <xdr:rowOff>0</xdr:rowOff>
    </xdr:from>
    <xdr:ext cx="304800" cy="304800"/>
    <xdr:sp macro="" textlink="">
      <xdr:nvSpPr>
        <xdr:cNvPr id="11" name="AutoShape 5">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104775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55</xdr:row>
      <xdr:rowOff>0</xdr:rowOff>
    </xdr:from>
    <xdr:ext cx="304800" cy="304800"/>
    <xdr:sp macro="" textlink="">
      <xdr:nvSpPr>
        <xdr:cNvPr id="12" name="AutoShape 6">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104775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55</xdr:row>
      <xdr:rowOff>0</xdr:rowOff>
    </xdr:from>
    <xdr:ext cx="304800" cy="304800"/>
    <xdr:sp macro="" textlink="">
      <xdr:nvSpPr>
        <xdr:cNvPr id="13" name="AutoShape 7">
          <a:extLst>
            <a:ext uri="{FF2B5EF4-FFF2-40B4-BE49-F238E27FC236}">
              <a16:creationId xmlns:a16="http://schemas.microsoft.com/office/drawing/2014/main" id="{00000000-0008-0000-0300-00000D000000}"/>
            </a:ext>
          </a:extLst>
        </xdr:cNvPr>
        <xdr:cNvSpPr>
          <a:spLocks noChangeAspect="1" noChangeArrowheads="1"/>
        </xdr:cNvSpPr>
      </xdr:nvSpPr>
      <xdr:spPr bwMode="auto">
        <a:xfrm>
          <a:off x="104775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55</xdr:row>
      <xdr:rowOff>0</xdr:rowOff>
    </xdr:from>
    <xdr:ext cx="304800" cy="304620"/>
    <xdr:sp macro="" textlink="">
      <xdr:nvSpPr>
        <xdr:cNvPr id="14" name="AutoShape 3" descr="blob:https://web.whatsapp.com/d439b33c-462a-4bc5-b6c5-51bc7b8bd7b9">
          <a:extLst>
            <a:ext uri="{FF2B5EF4-FFF2-40B4-BE49-F238E27FC236}">
              <a16:creationId xmlns:a16="http://schemas.microsoft.com/office/drawing/2014/main" id="{00000000-0008-0000-0300-00000E000000}"/>
            </a:ext>
          </a:extLst>
        </xdr:cNvPr>
        <xdr:cNvSpPr>
          <a:spLocks noChangeAspect="1" noChangeArrowheads="1"/>
        </xdr:cNvSpPr>
      </xdr:nvSpPr>
      <xdr:spPr bwMode="auto">
        <a:xfrm>
          <a:off x="2095500" y="10991850"/>
          <a:ext cx="304800" cy="304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55</xdr:row>
      <xdr:rowOff>0</xdr:rowOff>
    </xdr:from>
    <xdr:ext cx="304800" cy="304800"/>
    <xdr:sp macro="" textlink="">
      <xdr:nvSpPr>
        <xdr:cNvPr id="15" name="AutoShape 3">
          <a:extLst>
            <a:ext uri="{FF2B5EF4-FFF2-40B4-BE49-F238E27FC236}">
              <a16:creationId xmlns:a16="http://schemas.microsoft.com/office/drawing/2014/main" id="{00000000-0008-0000-0300-00000F000000}"/>
            </a:ext>
          </a:extLst>
        </xdr:cNvPr>
        <xdr:cNvSpPr>
          <a:spLocks noChangeAspect="1" noChangeArrowheads="1"/>
        </xdr:cNvSpPr>
      </xdr:nvSpPr>
      <xdr:spPr bwMode="auto">
        <a:xfrm>
          <a:off x="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55</xdr:row>
      <xdr:rowOff>0</xdr:rowOff>
    </xdr:from>
    <xdr:ext cx="304800" cy="304800"/>
    <xdr:sp macro="" textlink="">
      <xdr:nvSpPr>
        <xdr:cNvPr id="16" name="AutoShape 4">
          <a:extLst>
            <a:ext uri="{FF2B5EF4-FFF2-40B4-BE49-F238E27FC236}">
              <a16:creationId xmlns:a16="http://schemas.microsoft.com/office/drawing/2014/main" id="{00000000-0008-0000-0300-000010000000}"/>
            </a:ext>
          </a:extLst>
        </xdr:cNvPr>
        <xdr:cNvSpPr>
          <a:spLocks noChangeAspect="1" noChangeArrowheads="1"/>
        </xdr:cNvSpPr>
      </xdr:nvSpPr>
      <xdr:spPr bwMode="auto">
        <a:xfrm>
          <a:off x="104775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55</xdr:row>
      <xdr:rowOff>0</xdr:rowOff>
    </xdr:from>
    <xdr:ext cx="304800" cy="304800"/>
    <xdr:sp macro="" textlink="">
      <xdr:nvSpPr>
        <xdr:cNvPr id="17" name="AutoShape 5">
          <a:extLst>
            <a:ext uri="{FF2B5EF4-FFF2-40B4-BE49-F238E27FC236}">
              <a16:creationId xmlns:a16="http://schemas.microsoft.com/office/drawing/2014/main" id="{00000000-0008-0000-0300-000011000000}"/>
            </a:ext>
          </a:extLst>
        </xdr:cNvPr>
        <xdr:cNvSpPr>
          <a:spLocks noChangeAspect="1" noChangeArrowheads="1"/>
        </xdr:cNvSpPr>
      </xdr:nvSpPr>
      <xdr:spPr bwMode="auto">
        <a:xfrm>
          <a:off x="104775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55</xdr:row>
      <xdr:rowOff>0</xdr:rowOff>
    </xdr:from>
    <xdr:ext cx="304800" cy="304800"/>
    <xdr:sp macro="" textlink="">
      <xdr:nvSpPr>
        <xdr:cNvPr id="18" name="AutoShape 6">
          <a:extLst>
            <a:ext uri="{FF2B5EF4-FFF2-40B4-BE49-F238E27FC236}">
              <a16:creationId xmlns:a16="http://schemas.microsoft.com/office/drawing/2014/main" id="{00000000-0008-0000-0300-000012000000}"/>
            </a:ext>
          </a:extLst>
        </xdr:cNvPr>
        <xdr:cNvSpPr>
          <a:spLocks noChangeAspect="1" noChangeArrowheads="1"/>
        </xdr:cNvSpPr>
      </xdr:nvSpPr>
      <xdr:spPr bwMode="auto">
        <a:xfrm>
          <a:off x="104775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55</xdr:row>
      <xdr:rowOff>0</xdr:rowOff>
    </xdr:from>
    <xdr:ext cx="304800" cy="304800"/>
    <xdr:sp macro="" textlink="">
      <xdr:nvSpPr>
        <xdr:cNvPr id="19" name="AutoShape 7">
          <a:extLst>
            <a:ext uri="{FF2B5EF4-FFF2-40B4-BE49-F238E27FC236}">
              <a16:creationId xmlns:a16="http://schemas.microsoft.com/office/drawing/2014/main" id="{00000000-0008-0000-0300-000013000000}"/>
            </a:ext>
          </a:extLst>
        </xdr:cNvPr>
        <xdr:cNvSpPr>
          <a:spLocks noChangeAspect="1" noChangeArrowheads="1"/>
        </xdr:cNvSpPr>
      </xdr:nvSpPr>
      <xdr:spPr bwMode="auto">
        <a:xfrm>
          <a:off x="104775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55</xdr:row>
      <xdr:rowOff>0</xdr:rowOff>
    </xdr:from>
    <xdr:ext cx="304800" cy="304620"/>
    <xdr:sp macro="" textlink="">
      <xdr:nvSpPr>
        <xdr:cNvPr id="20" name="AutoShape 3" descr="blob:https://web.whatsapp.com/d439b33c-462a-4bc5-b6c5-51bc7b8bd7b9">
          <a:extLst>
            <a:ext uri="{FF2B5EF4-FFF2-40B4-BE49-F238E27FC236}">
              <a16:creationId xmlns:a16="http://schemas.microsoft.com/office/drawing/2014/main" id="{00000000-0008-0000-0300-000014000000}"/>
            </a:ext>
          </a:extLst>
        </xdr:cNvPr>
        <xdr:cNvSpPr>
          <a:spLocks noChangeAspect="1" noChangeArrowheads="1"/>
        </xdr:cNvSpPr>
      </xdr:nvSpPr>
      <xdr:spPr bwMode="auto">
        <a:xfrm>
          <a:off x="2095500" y="10991850"/>
          <a:ext cx="304800" cy="304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55</xdr:row>
      <xdr:rowOff>0</xdr:rowOff>
    </xdr:from>
    <xdr:ext cx="304800" cy="304800"/>
    <xdr:sp macro="" textlink="">
      <xdr:nvSpPr>
        <xdr:cNvPr id="21" name="AutoShape 3">
          <a:extLst>
            <a:ext uri="{FF2B5EF4-FFF2-40B4-BE49-F238E27FC236}">
              <a16:creationId xmlns:a16="http://schemas.microsoft.com/office/drawing/2014/main" id="{00000000-0008-0000-0300-000015000000}"/>
            </a:ext>
          </a:extLst>
        </xdr:cNvPr>
        <xdr:cNvSpPr>
          <a:spLocks noChangeAspect="1" noChangeArrowheads="1"/>
        </xdr:cNvSpPr>
      </xdr:nvSpPr>
      <xdr:spPr bwMode="auto">
        <a:xfrm>
          <a:off x="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55</xdr:row>
      <xdr:rowOff>0</xdr:rowOff>
    </xdr:from>
    <xdr:ext cx="304800" cy="304800"/>
    <xdr:sp macro="" textlink="">
      <xdr:nvSpPr>
        <xdr:cNvPr id="22" name="AutoShape 4">
          <a:extLst>
            <a:ext uri="{FF2B5EF4-FFF2-40B4-BE49-F238E27FC236}">
              <a16:creationId xmlns:a16="http://schemas.microsoft.com/office/drawing/2014/main" id="{00000000-0008-0000-0300-000016000000}"/>
            </a:ext>
          </a:extLst>
        </xdr:cNvPr>
        <xdr:cNvSpPr>
          <a:spLocks noChangeAspect="1" noChangeArrowheads="1"/>
        </xdr:cNvSpPr>
      </xdr:nvSpPr>
      <xdr:spPr bwMode="auto">
        <a:xfrm>
          <a:off x="104775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55</xdr:row>
      <xdr:rowOff>0</xdr:rowOff>
    </xdr:from>
    <xdr:ext cx="304800" cy="304800"/>
    <xdr:sp macro="" textlink="">
      <xdr:nvSpPr>
        <xdr:cNvPr id="23" name="AutoShape 5">
          <a:extLst>
            <a:ext uri="{FF2B5EF4-FFF2-40B4-BE49-F238E27FC236}">
              <a16:creationId xmlns:a16="http://schemas.microsoft.com/office/drawing/2014/main" id="{00000000-0008-0000-0300-000017000000}"/>
            </a:ext>
          </a:extLst>
        </xdr:cNvPr>
        <xdr:cNvSpPr>
          <a:spLocks noChangeAspect="1" noChangeArrowheads="1"/>
        </xdr:cNvSpPr>
      </xdr:nvSpPr>
      <xdr:spPr bwMode="auto">
        <a:xfrm>
          <a:off x="104775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55</xdr:row>
      <xdr:rowOff>0</xdr:rowOff>
    </xdr:from>
    <xdr:ext cx="304800" cy="304800"/>
    <xdr:sp macro="" textlink="">
      <xdr:nvSpPr>
        <xdr:cNvPr id="24" name="AutoShape 6">
          <a:extLst>
            <a:ext uri="{FF2B5EF4-FFF2-40B4-BE49-F238E27FC236}">
              <a16:creationId xmlns:a16="http://schemas.microsoft.com/office/drawing/2014/main" id="{00000000-0008-0000-0300-000018000000}"/>
            </a:ext>
          </a:extLst>
        </xdr:cNvPr>
        <xdr:cNvSpPr>
          <a:spLocks noChangeAspect="1" noChangeArrowheads="1"/>
        </xdr:cNvSpPr>
      </xdr:nvSpPr>
      <xdr:spPr bwMode="auto">
        <a:xfrm>
          <a:off x="104775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55</xdr:row>
      <xdr:rowOff>0</xdr:rowOff>
    </xdr:from>
    <xdr:ext cx="304800" cy="304800"/>
    <xdr:sp macro="" textlink="">
      <xdr:nvSpPr>
        <xdr:cNvPr id="25" name="AutoShape 7">
          <a:extLst>
            <a:ext uri="{FF2B5EF4-FFF2-40B4-BE49-F238E27FC236}">
              <a16:creationId xmlns:a16="http://schemas.microsoft.com/office/drawing/2014/main" id="{00000000-0008-0000-0300-000019000000}"/>
            </a:ext>
          </a:extLst>
        </xdr:cNvPr>
        <xdr:cNvSpPr>
          <a:spLocks noChangeAspect="1" noChangeArrowheads="1"/>
        </xdr:cNvSpPr>
      </xdr:nvSpPr>
      <xdr:spPr bwMode="auto">
        <a:xfrm>
          <a:off x="104775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55</xdr:row>
      <xdr:rowOff>0</xdr:rowOff>
    </xdr:from>
    <xdr:ext cx="304800" cy="304620"/>
    <xdr:sp macro="" textlink="">
      <xdr:nvSpPr>
        <xdr:cNvPr id="26" name="AutoShape 3" descr="blob:https://web.whatsapp.com/d439b33c-462a-4bc5-b6c5-51bc7b8bd7b9">
          <a:extLst>
            <a:ext uri="{FF2B5EF4-FFF2-40B4-BE49-F238E27FC236}">
              <a16:creationId xmlns:a16="http://schemas.microsoft.com/office/drawing/2014/main" id="{00000000-0008-0000-0300-00001A000000}"/>
            </a:ext>
          </a:extLst>
        </xdr:cNvPr>
        <xdr:cNvSpPr>
          <a:spLocks noChangeAspect="1" noChangeArrowheads="1"/>
        </xdr:cNvSpPr>
      </xdr:nvSpPr>
      <xdr:spPr bwMode="auto">
        <a:xfrm>
          <a:off x="2095500" y="10991850"/>
          <a:ext cx="304800" cy="304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55</xdr:row>
      <xdr:rowOff>0</xdr:rowOff>
    </xdr:from>
    <xdr:ext cx="304800" cy="304800"/>
    <xdr:sp macro="" textlink="">
      <xdr:nvSpPr>
        <xdr:cNvPr id="27" name="AutoShape 3">
          <a:extLst>
            <a:ext uri="{FF2B5EF4-FFF2-40B4-BE49-F238E27FC236}">
              <a16:creationId xmlns:a16="http://schemas.microsoft.com/office/drawing/2014/main" id="{00000000-0008-0000-0300-00001B000000}"/>
            </a:ext>
          </a:extLst>
        </xdr:cNvPr>
        <xdr:cNvSpPr>
          <a:spLocks noChangeAspect="1" noChangeArrowheads="1"/>
        </xdr:cNvSpPr>
      </xdr:nvSpPr>
      <xdr:spPr bwMode="auto">
        <a:xfrm>
          <a:off x="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55</xdr:row>
      <xdr:rowOff>0</xdr:rowOff>
    </xdr:from>
    <xdr:ext cx="304800" cy="304800"/>
    <xdr:sp macro="" textlink="">
      <xdr:nvSpPr>
        <xdr:cNvPr id="28" name="AutoShape 4">
          <a:extLst>
            <a:ext uri="{FF2B5EF4-FFF2-40B4-BE49-F238E27FC236}">
              <a16:creationId xmlns:a16="http://schemas.microsoft.com/office/drawing/2014/main" id="{00000000-0008-0000-0300-00001C000000}"/>
            </a:ext>
          </a:extLst>
        </xdr:cNvPr>
        <xdr:cNvSpPr>
          <a:spLocks noChangeAspect="1" noChangeArrowheads="1"/>
        </xdr:cNvSpPr>
      </xdr:nvSpPr>
      <xdr:spPr bwMode="auto">
        <a:xfrm>
          <a:off x="104775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55</xdr:row>
      <xdr:rowOff>0</xdr:rowOff>
    </xdr:from>
    <xdr:ext cx="304800" cy="304800"/>
    <xdr:sp macro="" textlink="">
      <xdr:nvSpPr>
        <xdr:cNvPr id="29" name="AutoShape 5">
          <a:extLst>
            <a:ext uri="{FF2B5EF4-FFF2-40B4-BE49-F238E27FC236}">
              <a16:creationId xmlns:a16="http://schemas.microsoft.com/office/drawing/2014/main" id="{00000000-0008-0000-0300-00001D000000}"/>
            </a:ext>
          </a:extLst>
        </xdr:cNvPr>
        <xdr:cNvSpPr>
          <a:spLocks noChangeAspect="1" noChangeArrowheads="1"/>
        </xdr:cNvSpPr>
      </xdr:nvSpPr>
      <xdr:spPr bwMode="auto">
        <a:xfrm>
          <a:off x="104775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55</xdr:row>
      <xdr:rowOff>0</xdr:rowOff>
    </xdr:from>
    <xdr:ext cx="304800" cy="304800"/>
    <xdr:sp macro="" textlink="">
      <xdr:nvSpPr>
        <xdr:cNvPr id="30" name="AutoShape 6">
          <a:extLst>
            <a:ext uri="{FF2B5EF4-FFF2-40B4-BE49-F238E27FC236}">
              <a16:creationId xmlns:a16="http://schemas.microsoft.com/office/drawing/2014/main" id="{00000000-0008-0000-0300-00001E000000}"/>
            </a:ext>
          </a:extLst>
        </xdr:cNvPr>
        <xdr:cNvSpPr>
          <a:spLocks noChangeAspect="1" noChangeArrowheads="1"/>
        </xdr:cNvSpPr>
      </xdr:nvSpPr>
      <xdr:spPr bwMode="auto">
        <a:xfrm>
          <a:off x="104775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55</xdr:row>
      <xdr:rowOff>0</xdr:rowOff>
    </xdr:from>
    <xdr:ext cx="304800" cy="304800"/>
    <xdr:sp macro="" textlink="">
      <xdr:nvSpPr>
        <xdr:cNvPr id="31" name="AutoShape 7">
          <a:extLst>
            <a:ext uri="{FF2B5EF4-FFF2-40B4-BE49-F238E27FC236}">
              <a16:creationId xmlns:a16="http://schemas.microsoft.com/office/drawing/2014/main" id="{00000000-0008-0000-0300-00001F000000}"/>
            </a:ext>
          </a:extLst>
        </xdr:cNvPr>
        <xdr:cNvSpPr>
          <a:spLocks noChangeAspect="1" noChangeArrowheads="1"/>
        </xdr:cNvSpPr>
      </xdr:nvSpPr>
      <xdr:spPr bwMode="auto">
        <a:xfrm>
          <a:off x="104775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55</xdr:row>
      <xdr:rowOff>0</xdr:rowOff>
    </xdr:from>
    <xdr:ext cx="304800" cy="304620"/>
    <xdr:sp macro="" textlink="">
      <xdr:nvSpPr>
        <xdr:cNvPr id="32" name="AutoShape 3" descr="blob:https://web.whatsapp.com/d439b33c-462a-4bc5-b6c5-51bc7b8bd7b9">
          <a:extLst>
            <a:ext uri="{FF2B5EF4-FFF2-40B4-BE49-F238E27FC236}">
              <a16:creationId xmlns:a16="http://schemas.microsoft.com/office/drawing/2014/main" id="{00000000-0008-0000-0300-000020000000}"/>
            </a:ext>
          </a:extLst>
        </xdr:cNvPr>
        <xdr:cNvSpPr>
          <a:spLocks noChangeAspect="1" noChangeArrowheads="1"/>
        </xdr:cNvSpPr>
      </xdr:nvSpPr>
      <xdr:spPr bwMode="auto">
        <a:xfrm>
          <a:off x="2095500" y="10991850"/>
          <a:ext cx="304800" cy="304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55</xdr:row>
      <xdr:rowOff>0</xdr:rowOff>
    </xdr:from>
    <xdr:ext cx="304800" cy="304800"/>
    <xdr:sp macro="" textlink="">
      <xdr:nvSpPr>
        <xdr:cNvPr id="33" name="AutoShape 3">
          <a:extLst>
            <a:ext uri="{FF2B5EF4-FFF2-40B4-BE49-F238E27FC236}">
              <a16:creationId xmlns:a16="http://schemas.microsoft.com/office/drawing/2014/main" id="{00000000-0008-0000-0300-000021000000}"/>
            </a:ext>
          </a:extLst>
        </xdr:cNvPr>
        <xdr:cNvSpPr>
          <a:spLocks noChangeAspect="1" noChangeArrowheads="1"/>
        </xdr:cNvSpPr>
      </xdr:nvSpPr>
      <xdr:spPr bwMode="auto">
        <a:xfrm>
          <a:off x="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55</xdr:row>
      <xdr:rowOff>0</xdr:rowOff>
    </xdr:from>
    <xdr:ext cx="304800" cy="304800"/>
    <xdr:sp macro="" textlink="">
      <xdr:nvSpPr>
        <xdr:cNvPr id="34" name="AutoShape 4">
          <a:extLst>
            <a:ext uri="{FF2B5EF4-FFF2-40B4-BE49-F238E27FC236}">
              <a16:creationId xmlns:a16="http://schemas.microsoft.com/office/drawing/2014/main" id="{00000000-0008-0000-0300-000022000000}"/>
            </a:ext>
          </a:extLst>
        </xdr:cNvPr>
        <xdr:cNvSpPr>
          <a:spLocks noChangeAspect="1" noChangeArrowheads="1"/>
        </xdr:cNvSpPr>
      </xdr:nvSpPr>
      <xdr:spPr bwMode="auto">
        <a:xfrm>
          <a:off x="104775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55</xdr:row>
      <xdr:rowOff>0</xdr:rowOff>
    </xdr:from>
    <xdr:ext cx="304800" cy="304800"/>
    <xdr:sp macro="" textlink="">
      <xdr:nvSpPr>
        <xdr:cNvPr id="35" name="AutoShape 5">
          <a:extLst>
            <a:ext uri="{FF2B5EF4-FFF2-40B4-BE49-F238E27FC236}">
              <a16:creationId xmlns:a16="http://schemas.microsoft.com/office/drawing/2014/main" id="{00000000-0008-0000-0300-000023000000}"/>
            </a:ext>
          </a:extLst>
        </xdr:cNvPr>
        <xdr:cNvSpPr>
          <a:spLocks noChangeAspect="1" noChangeArrowheads="1"/>
        </xdr:cNvSpPr>
      </xdr:nvSpPr>
      <xdr:spPr bwMode="auto">
        <a:xfrm>
          <a:off x="104775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55</xdr:row>
      <xdr:rowOff>0</xdr:rowOff>
    </xdr:from>
    <xdr:ext cx="304800" cy="304800"/>
    <xdr:sp macro="" textlink="">
      <xdr:nvSpPr>
        <xdr:cNvPr id="36" name="AutoShape 6">
          <a:extLst>
            <a:ext uri="{FF2B5EF4-FFF2-40B4-BE49-F238E27FC236}">
              <a16:creationId xmlns:a16="http://schemas.microsoft.com/office/drawing/2014/main" id="{00000000-0008-0000-0300-000024000000}"/>
            </a:ext>
          </a:extLst>
        </xdr:cNvPr>
        <xdr:cNvSpPr>
          <a:spLocks noChangeAspect="1" noChangeArrowheads="1"/>
        </xdr:cNvSpPr>
      </xdr:nvSpPr>
      <xdr:spPr bwMode="auto">
        <a:xfrm>
          <a:off x="104775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55</xdr:row>
      <xdr:rowOff>0</xdr:rowOff>
    </xdr:from>
    <xdr:ext cx="304800" cy="304800"/>
    <xdr:sp macro="" textlink="">
      <xdr:nvSpPr>
        <xdr:cNvPr id="37" name="AutoShape 7">
          <a:extLst>
            <a:ext uri="{FF2B5EF4-FFF2-40B4-BE49-F238E27FC236}">
              <a16:creationId xmlns:a16="http://schemas.microsoft.com/office/drawing/2014/main" id="{00000000-0008-0000-0300-000025000000}"/>
            </a:ext>
          </a:extLst>
        </xdr:cNvPr>
        <xdr:cNvSpPr>
          <a:spLocks noChangeAspect="1" noChangeArrowheads="1"/>
        </xdr:cNvSpPr>
      </xdr:nvSpPr>
      <xdr:spPr bwMode="auto">
        <a:xfrm>
          <a:off x="1047750" y="1099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69</xdr:row>
      <xdr:rowOff>0</xdr:rowOff>
    </xdr:from>
    <xdr:ext cx="304800" cy="304620"/>
    <xdr:sp macro="" textlink="">
      <xdr:nvSpPr>
        <xdr:cNvPr id="38" name="AutoShape 3" descr="blob:https://web.whatsapp.com/d439b33c-462a-4bc5-b6c5-51bc7b8bd7b9">
          <a:extLst>
            <a:ext uri="{FF2B5EF4-FFF2-40B4-BE49-F238E27FC236}">
              <a16:creationId xmlns:a16="http://schemas.microsoft.com/office/drawing/2014/main" id="{00000000-0008-0000-0300-000026000000}"/>
            </a:ext>
          </a:extLst>
        </xdr:cNvPr>
        <xdr:cNvSpPr>
          <a:spLocks noChangeAspect="1" noChangeArrowheads="1"/>
        </xdr:cNvSpPr>
      </xdr:nvSpPr>
      <xdr:spPr bwMode="auto">
        <a:xfrm>
          <a:off x="2095500" y="13811250"/>
          <a:ext cx="304800" cy="304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63</xdr:row>
      <xdr:rowOff>0</xdr:rowOff>
    </xdr:from>
    <xdr:ext cx="304800" cy="304800"/>
    <xdr:sp macro="" textlink="">
      <xdr:nvSpPr>
        <xdr:cNvPr id="39" name="AutoShape 3">
          <a:extLst>
            <a:ext uri="{FF2B5EF4-FFF2-40B4-BE49-F238E27FC236}">
              <a16:creationId xmlns:a16="http://schemas.microsoft.com/office/drawing/2014/main" id="{00000000-0008-0000-0300-000027000000}"/>
            </a:ext>
          </a:extLst>
        </xdr:cNvPr>
        <xdr:cNvSpPr>
          <a:spLocks noChangeAspect="1" noChangeArrowheads="1"/>
        </xdr:cNvSpPr>
      </xdr:nvSpPr>
      <xdr:spPr bwMode="auto">
        <a:xfrm>
          <a:off x="0" y="12668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xdr:row>
      <xdr:rowOff>0</xdr:rowOff>
    </xdr:from>
    <xdr:ext cx="304800" cy="304800"/>
    <xdr:sp macro="" textlink="">
      <xdr:nvSpPr>
        <xdr:cNvPr id="40" name="AutoShape 4">
          <a:extLst>
            <a:ext uri="{FF2B5EF4-FFF2-40B4-BE49-F238E27FC236}">
              <a16:creationId xmlns:a16="http://schemas.microsoft.com/office/drawing/2014/main" id="{00000000-0008-0000-0300-000028000000}"/>
            </a:ext>
          </a:extLst>
        </xdr:cNvPr>
        <xdr:cNvSpPr>
          <a:spLocks noChangeAspect="1" noChangeArrowheads="1"/>
        </xdr:cNvSpPr>
      </xdr:nvSpPr>
      <xdr:spPr bwMode="auto">
        <a:xfrm>
          <a:off x="1047750" y="1304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65</xdr:row>
      <xdr:rowOff>0</xdr:rowOff>
    </xdr:from>
    <xdr:ext cx="304800" cy="304800"/>
    <xdr:sp macro="" textlink="">
      <xdr:nvSpPr>
        <xdr:cNvPr id="41" name="AutoShape 5">
          <a:extLst>
            <a:ext uri="{FF2B5EF4-FFF2-40B4-BE49-F238E27FC236}">
              <a16:creationId xmlns:a16="http://schemas.microsoft.com/office/drawing/2014/main" id="{00000000-0008-0000-0300-000029000000}"/>
            </a:ext>
          </a:extLst>
        </xdr:cNvPr>
        <xdr:cNvSpPr>
          <a:spLocks noChangeAspect="1" noChangeArrowheads="1"/>
        </xdr:cNvSpPr>
      </xdr:nvSpPr>
      <xdr:spPr bwMode="auto">
        <a:xfrm>
          <a:off x="1047750" y="1304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62</xdr:row>
      <xdr:rowOff>0</xdr:rowOff>
    </xdr:from>
    <xdr:ext cx="304800" cy="304800"/>
    <xdr:sp macro="" textlink="">
      <xdr:nvSpPr>
        <xdr:cNvPr id="42" name="AutoShape 6">
          <a:extLst>
            <a:ext uri="{FF2B5EF4-FFF2-40B4-BE49-F238E27FC236}">
              <a16:creationId xmlns:a16="http://schemas.microsoft.com/office/drawing/2014/main" id="{00000000-0008-0000-0300-00002A000000}"/>
            </a:ext>
          </a:extLst>
        </xdr:cNvPr>
        <xdr:cNvSpPr>
          <a:spLocks noChangeAspect="1" noChangeArrowheads="1"/>
        </xdr:cNvSpPr>
      </xdr:nvSpPr>
      <xdr:spPr bwMode="auto">
        <a:xfrm>
          <a:off x="1047750" y="1247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62</xdr:row>
      <xdr:rowOff>0</xdr:rowOff>
    </xdr:from>
    <xdr:ext cx="304800" cy="304800"/>
    <xdr:sp macro="" textlink="">
      <xdr:nvSpPr>
        <xdr:cNvPr id="43" name="AutoShape 7">
          <a:extLst>
            <a:ext uri="{FF2B5EF4-FFF2-40B4-BE49-F238E27FC236}">
              <a16:creationId xmlns:a16="http://schemas.microsoft.com/office/drawing/2014/main" id="{00000000-0008-0000-0300-00002B000000}"/>
            </a:ext>
          </a:extLst>
        </xdr:cNvPr>
        <xdr:cNvSpPr>
          <a:spLocks noChangeAspect="1" noChangeArrowheads="1"/>
        </xdr:cNvSpPr>
      </xdr:nvSpPr>
      <xdr:spPr bwMode="auto">
        <a:xfrm>
          <a:off x="1047750" y="1247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124</xdr:row>
      <xdr:rowOff>0</xdr:rowOff>
    </xdr:from>
    <xdr:ext cx="304800" cy="304620"/>
    <xdr:sp macro="" textlink="">
      <xdr:nvSpPr>
        <xdr:cNvPr id="44" name="AutoShape 3" descr="blob:https://web.whatsapp.com/d439b33c-462a-4bc5-b6c5-51bc7b8bd7b9">
          <a:extLst>
            <a:ext uri="{FF2B5EF4-FFF2-40B4-BE49-F238E27FC236}">
              <a16:creationId xmlns:a16="http://schemas.microsoft.com/office/drawing/2014/main" id="{00000000-0008-0000-0300-00002C000000}"/>
            </a:ext>
          </a:extLst>
        </xdr:cNvPr>
        <xdr:cNvSpPr>
          <a:spLocks noChangeAspect="1" noChangeArrowheads="1"/>
        </xdr:cNvSpPr>
      </xdr:nvSpPr>
      <xdr:spPr bwMode="auto">
        <a:xfrm>
          <a:off x="2095500" y="24526875"/>
          <a:ext cx="304800" cy="304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118</xdr:row>
      <xdr:rowOff>0</xdr:rowOff>
    </xdr:from>
    <xdr:ext cx="304800" cy="304800"/>
    <xdr:sp macro="" textlink="">
      <xdr:nvSpPr>
        <xdr:cNvPr id="45" name="AutoShape 3">
          <a:extLst>
            <a:ext uri="{FF2B5EF4-FFF2-40B4-BE49-F238E27FC236}">
              <a16:creationId xmlns:a16="http://schemas.microsoft.com/office/drawing/2014/main" id="{00000000-0008-0000-0300-00002D000000}"/>
            </a:ext>
          </a:extLst>
        </xdr:cNvPr>
        <xdr:cNvSpPr>
          <a:spLocks noChangeAspect="1" noChangeArrowheads="1"/>
        </xdr:cNvSpPr>
      </xdr:nvSpPr>
      <xdr:spPr bwMode="auto">
        <a:xfrm>
          <a:off x="0" y="23383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120</xdr:row>
      <xdr:rowOff>0</xdr:rowOff>
    </xdr:from>
    <xdr:ext cx="304800" cy="304800"/>
    <xdr:sp macro="" textlink="">
      <xdr:nvSpPr>
        <xdr:cNvPr id="46" name="AutoShape 4">
          <a:extLst>
            <a:ext uri="{FF2B5EF4-FFF2-40B4-BE49-F238E27FC236}">
              <a16:creationId xmlns:a16="http://schemas.microsoft.com/office/drawing/2014/main" id="{00000000-0008-0000-0300-00002E000000}"/>
            </a:ext>
          </a:extLst>
        </xdr:cNvPr>
        <xdr:cNvSpPr>
          <a:spLocks noChangeAspect="1" noChangeArrowheads="1"/>
        </xdr:cNvSpPr>
      </xdr:nvSpPr>
      <xdr:spPr bwMode="auto">
        <a:xfrm>
          <a:off x="1047750" y="2376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120</xdr:row>
      <xdr:rowOff>0</xdr:rowOff>
    </xdr:from>
    <xdr:ext cx="304800" cy="304800"/>
    <xdr:sp macro="" textlink="">
      <xdr:nvSpPr>
        <xdr:cNvPr id="47" name="AutoShape 5">
          <a:extLst>
            <a:ext uri="{FF2B5EF4-FFF2-40B4-BE49-F238E27FC236}">
              <a16:creationId xmlns:a16="http://schemas.microsoft.com/office/drawing/2014/main" id="{00000000-0008-0000-0300-00002F000000}"/>
            </a:ext>
          </a:extLst>
        </xdr:cNvPr>
        <xdr:cNvSpPr>
          <a:spLocks noChangeAspect="1" noChangeArrowheads="1"/>
        </xdr:cNvSpPr>
      </xdr:nvSpPr>
      <xdr:spPr bwMode="auto">
        <a:xfrm>
          <a:off x="1047750" y="2376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117</xdr:row>
      <xdr:rowOff>0</xdr:rowOff>
    </xdr:from>
    <xdr:ext cx="304800" cy="304800"/>
    <xdr:sp macro="" textlink="">
      <xdr:nvSpPr>
        <xdr:cNvPr id="48" name="AutoShape 6">
          <a:extLst>
            <a:ext uri="{FF2B5EF4-FFF2-40B4-BE49-F238E27FC236}">
              <a16:creationId xmlns:a16="http://schemas.microsoft.com/office/drawing/2014/main" id="{00000000-0008-0000-0300-000030000000}"/>
            </a:ext>
          </a:extLst>
        </xdr:cNvPr>
        <xdr:cNvSpPr>
          <a:spLocks noChangeAspect="1" noChangeArrowheads="1"/>
        </xdr:cNvSpPr>
      </xdr:nvSpPr>
      <xdr:spPr bwMode="auto">
        <a:xfrm>
          <a:off x="1047750" y="23193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117</xdr:row>
      <xdr:rowOff>0</xdr:rowOff>
    </xdr:from>
    <xdr:ext cx="304800" cy="304800"/>
    <xdr:sp macro="" textlink="">
      <xdr:nvSpPr>
        <xdr:cNvPr id="49" name="AutoShape 7">
          <a:extLst>
            <a:ext uri="{FF2B5EF4-FFF2-40B4-BE49-F238E27FC236}">
              <a16:creationId xmlns:a16="http://schemas.microsoft.com/office/drawing/2014/main" id="{00000000-0008-0000-0300-000031000000}"/>
            </a:ext>
          </a:extLst>
        </xdr:cNvPr>
        <xdr:cNvSpPr>
          <a:spLocks noChangeAspect="1" noChangeArrowheads="1"/>
        </xdr:cNvSpPr>
      </xdr:nvSpPr>
      <xdr:spPr bwMode="auto">
        <a:xfrm>
          <a:off x="1047750" y="23193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179</xdr:row>
      <xdr:rowOff>0</xdr:rowOff>
    </xdr:from>
    <xdr:ext cx="304800" cy="304620"/>
    <xdr:sp macro="" textlink="">
      <xdr:nvSpPr>
        <xdr:cNvPr id="50" name="AutoShape 3" descr="blob:https://web.whatsapp.com/d439b33c-462a-4bc5-b6c5-51bc7b8bd7b9">
          <a:extLst>
            <a:ext uri="{FF2B5EF4-FFF2-40B4-BE49-F238E27FC236}">
              <a16:creationId xmlns:a16="http://schemas.microsoft.com/office/drawing/2014/main" id="{00000000-0008-0000-0300-000032000000}"/>
            </a:ext>
          </a:extLst>
        </xdr:cNvPr>
        <xdr:cNvSpPr>
          <a:spLocks noChangeAspect="1" noChangeArrowheads="1"/>
        </xdr:cNvSpPr>
      </xdr:nvSpPr>
      <xdr:spPr bwMode="auto">
        <a:xfrm>
          <a:off x="2095500" y="35252025"/>
          <a:ext cx="304800" cy="304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173</xdr:row>
      <xdr:rowOff>0</xdr:rowOff>
    </xdr:from>
    <xdr:ext cx="304800" cy="304800"/>
    <xdr:sp macro="" textlink="">
      <xdr:nvSpPr>
        <xdr:cNvPr id="51" name="AutoShape 3">
          <a:extLst>
            <a:ext uri="{FF2B5EF4-FFF2-40B4-BE49-F238E27FC236}">
              <a16:creationId xmlns:a16="http://schemas.microsoft.com/office/drawing/2014/main" id="{00000000-0008-0000-0300-000033000000}"/>
            </a:ext>
          </a:extLst>
        </xdr:cNvPr>
        <xdr:cNvSpPr>
          <a:spLocks noChangeAspect="1" noChangeArrowheads="1"/>
        </xdr:cNvSpPr>
      </xdr:nvSpPr>
      <xdr:spPr bwMode="auto">
        <a:xfrm>
          <a:off x="0" y="34109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175</xdr:row>
      <xdr:rowOff>0</xdr:rowOff>
    </xdr:from>
    <xdr:ext cx="304800" cy="304800"/>
    <xdr:sp macro="" textlink="">
      <xdr:nvSpPr>
        <xdr:cNvPr id="52" name="AutoShape 4">
          <a:extLst>
            <a:ext uri="{FF2B5EF4-FFF2-40B4-BE49-F238E27FC236}">
              <a16:creationId xmlns:a16="http://schemas.microsoft.com/office/drawing/2014/main" id="{00000000-0008-0000-0300-000034000000}"/>
            </a:ext>
          </a:extLst>
        </xdr:cNvPr>
        <xdr:cNvSpPr>
          <a:spLocks noChangeAspect="1" noChangeArrowheads="1"/>
        </xdr:cNvSpPr>
      </xdr:nvSpPr>
      <xdr:spPr bwMode="auto">
        <a:xfrm>
          <a:off x="1047750" y="3449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175</xdr:row>
      <xdr:rowOff>0</xdr:rowOff>
    </xdr:from>
    <xdr:ext cx="304800" cy="304800"/>
    <xdr:sp macro="" textlink="">
      <xdr:nvSpPr>
        <xdr:cNvPr id="53" name="AutoShape 5">
          <a:extLst>
            <a:ext uri="{FF2B5EF4-FFF2-40B4-BE49-F238E27FC236}">
              <a16:creationId xmlns:a16="http://schemas.microsoft.com/office/drawing/2014/main" id="{00000000-0008-0000-0300-000035000000}"/>
            </a:ext>
          </a:extLst>
        </xdr:cNvPr>
        <xdr:cNvSpPr>
          <a:spLocks noChangeAspect="1" noChangeArrowheads="1"/>
        </xdr:cNvSpPr>
      </xdr:nvSpPr>
      <xdr:spPr bwMode="auto">
        <a:xfrm>
          <a:off x="1047750" y="3449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172</xdr:row>
      <xdr:rowOff>0</xdr:rowOff>
    </xdr:from>
    <xdr:ext cx="304800" cy="304800"/>
    <xdr:sp macro="" textlink="">
      <xdr:nvSpPr>
        <xdr:cNvPr id="54" name="AutoShape 6">
          <a:extLst>
            <a:ext uri="{FF2B5EF4-FFF2-40B4-BE49-F238E27FC236}">
              <a16:creationId xmlns:a16="http://schemas.microsoft.com/office/drawing/2014/main" id="{00000000-0008-0000-0300-000036000000}"/>
            </a:ext>
          </a:extLst>
        </xdr:cNvPr>
        <xdr:cNvSpPr>
          <a:spLocks noChangeAspect="1" noChangeArrowheads="1"/>
        </xdr:cNvSpPr>
      </xdr:nvSpPr>
      <xdr:spPr bwMode="auto">
        <a:xfrm>
          <a:off x="10477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172</xdr:row>
      <xdr:rowOff>0</xdr:rowOff>
    </xdr:from>
    <xdr:ext cx="304800" cy="304800"/>
    <xdr:sp macro="" textlink="">
      <xdr:nvSpPr>
        <xdr:cNvPr id="55" name="AutoShape 7">
          <a:extLst>
            <a:ext uri="{FF2B5EF4-FFF2-40B4-BE49-F238E27FC236}">
              <a16:creationId xmlns:a16="http://schemas.microsoft.com/office/drawing/2014/main" id="{00000000-0008-0000-0300-000037000000}"/>
            </a:ext>
          </a:extLst>
        </xdr:cNvPr>
        <xdr:cNvSpPr>
          <a:spLocks noChangeAspect="1" noChangeArrowheads="1"/>
        </xdr:cNvSpPr>
      </xdr:nvSpPr>
      <xdr:spPr bwMode="auto">
        <a:xfrm>
          <a:off x="1047750" y="3391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234</xdr:row>
      <xdr:rowOff>0</xdr:rowOff>
    </xdr:from>
    <xdr:ext cx="304800" cy="304620"/>
    <xdr:sp macro="" textlink="">
      <xdr:nvSpPr>
        <xdr:cNvPr id="56" name="AutoShape 3" descr="blob:https://web.whatsapp.com/d439b33c-462a-4bc5-b6c5-51bc7b8bd7b9">
          <a:extLst>
            <a:ext uri="{FF2B5EF4-FFF2-40B4-BE49-F238E27FC236}">
              <a16:creationId xmlns:a16="http://schemas.microsoft.com/office/drawing/2014/main" id="{00000000-0008-0000-0300-000038000000}"/>
            </a:ext>
          </a:extLst>
        </xdr:cNvPr>
        <xdr:cNvSpPr>
          <a:spLocks noChangeAspect="1" noChangeArrowheads="1"/>
        </xdr:cNvSpPr>
      </xdr:nvSpPr>
      <xdr:spPr bwMode="auto">
        <a:xfrm>
          <a:off x="2095500" y="45977175"/>
          <a:ext cx="304800" cy="304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228</xdr:row>
      <xdr:rowOff>0</xdr:rowOff>
    </xdr:from>
    <xdr:ext cx="304800" cy="304800"/>
    <xdr:sp macro="" textlink="">
      <xdr:nvSpPr>
        <xdr:cNvPr id="57" name="AutoShape 3">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0" y="44834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230</xdr:row>
      <xdr:rowOff>0</xdr:rowOff>
    </xdr:from>
    <xdr:ext cx="304800" cy="304800"/>
    <xdr:sp macro="" textlink="">
      <xdr:nvSpPr>
        <xdr:cNvPr id="58" name="AutoShape 4">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1047750" y="45215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230</xdr:row>
      <xdr:rowOff>0</xdr:rowOff>
    </xdr:from>
    <xdr:ext cx="304800" cy="304800"/>
    <xdr:sp macro="" textlink="">
      <xdr:nvSpPr>
        <xdr:cNvPr id="59" name="AutoShape 5">
          <a:extLst>
            <a:ext uri="{FF2B5EF4-FFF2-40B4-BE49-F238E27FC236}">
              <a16:creationId xmlns:a16="http://schemas.microsoft.com/office/drawing/2014/main" id="{00000000-0008-0000-0300-00003B000000}"/>
            </a:ext>
          </a:extLst>
        </xdr:cNvPr>
        <xdr:cNvSpPr>
          <a:spLocks noChangeAspect="1" noChangeArrowheads="1"/>
        </xdr:cNvSpPr>
      </xdr:nvSpPr>
      <xdr:spPr bwMode="auto">
        <a:xfrm>
          <a:off x="1047750" y="45215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227</xdr:row>
      <xdr:rowOff>0</xdr:rowOff>
    </xdr:from>
    <xdr:ext cx="304800" cy="304800"/>
    <xdr:sp macro="" textlink="">
      <xdr:nvSpPr>
        <xdr:cNvPr id="60" name="AutoShape 6">
          <a:extLst>
            <a:ext uri="{FF2B5EF4-FFF2-40B4-BE49-F238E27FC236}">
              <a16:creationId xmlns:a16="http://schemas.microsoft.com/office/drawing/2014/main" id="{00000000-0008-0000-0300-00003C000000}"/>
            </a:ext>
          </a:extLst>
        </xdr:cNvPr>
        <xdr:cNvSpPr>
          <a:spLocks noChangeAspect="1" noChangeArrowheads="1"/>
        </xdr:cNvSpPr>
      </xdr:nvSpPr>
      <xdr:spPr bwMode="auto">
        <a:xfrm>
          <a:off x="1047750" y="4464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227</xdr:row>
      <xdr:rowOff>0</xdr:rowOff>
    </xdr:from>
    <xdr:ext cx="304800" cy="304800"/>
    <xdr:sp macro="" textlink="">
      <xdr:nvSpPr>
        <xdr:cNvPr id="61" name="AutoShape 7">
          <a:extLst>
            <a:ext uri="{FF2B5EF4-FFF2-40B4-BE49-F238E27FC236}">
              <a16:creationId xmlns:a16="http://schemas.microsoft.com/office/drawing/2014/main" id="{00000000-0008-0000-0300-00003D000000}"/>
            </a:ext>
          </a:extLst>
        </xdr:cNvPr>
        <xdr:cNvSpPr>
          <a:spLocks noChangeAspect="1" noChangeArrowheads="1"/>
        </xdr:cNvSpPr>
      </xdr:nvSpPr>
      <xdr:spPr bwMode="auto">
        <a:xfrm>
          <a:off x="1047750" y="4464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mc:AlternateContent xmlns:mc="http://schemas.openxmlformats.org/markup-compatibility/2006">
    <mc:Choice xmlns:a14="http://schemas.microsoft.com/office/drawing/2010/main" Requires="a14">
      <xdr:twoCellAnchor>
        <xdr:from>
          <xdr:col>0</xdr:col>
          <xdr:colOff>83820</xdr:colOff>
          <xdr:row>275</xdr:row>
          <xdr:rowOff>114300</xdr:rowOff>
        </xdr:from>
        <xdr:to>
          <xdr:col>1</xdr:col>
          <xdr:colOff>998220</xdr:colOff>
          <xdr:row>277</xdr:row>
          <xdr:rowOff>121920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2</xdr:col>
      <xdr:colOff>0</xdr:colOff>
      <xdr:row>289</xdr:row>
      <xdr:rowOff>0</xdr:rowOff>
    </xdr:from>
    <xdr:ext cx="304800" cy="304620"/>
    <xdr:sp macro="" textlink="">
      <xdr:nvSpPr>
        <xdr:cNvPr id="63" name="AutoShape 3" descr="blob:https://web.whatsapp.com/d439b33c-462a-4bc5-b6c5-51bc7b8bd7b9">
          <a:extLst>
            <a:ext uri="{FF2B5EF4-FFF2-40B4-BE49-F238E27FC236}">
              <a16:creationId xmlns:a16="http://schemas.microsoft.com/office/drawing/2014/main" id="{00000000-0008-0000-0300-00003F000000}"/>
            </a:ext>
          </a:extLst>
        </xdr:cNvPr>
        <xdr:cNvSpPr>
          <a:spLocks noChangeAspect="1" noChangeArrowheads="1"/>
        </xdr:cNvSpPr>
      </xdr:nvSpPr>
      <xdr:spPr bwMode="auto">
        <a:xfrm>
          <a:off x="2095500" y="56702325"/>
          <a:ext cx="304800" cy="304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283</xdr:row>
      <xdr:rowOff>0</xdr:rowOff>
    </xdr:from>
    <xdr:ext cx="304800" cy="304800"/>
    <xdr:sp macro="" textlink="">
      <xdr:nvSpPr>
        <xdr:cNvPr id="64" name="AutoShape 3">
          <a:extLst>
            <a:ext uri="{FF2B5EF4-FFF2-40B4-BE49-F238E27FC236}">
              <a16:creationId xmlns:a16="http://schemas.microsoft.com/office/drawing/2014/main" id="{00000000-0008-0000-0300-000040000000}"/>
            </a:ext>
          </a:extLst>
        </xdr:cNvPr>
        <xdr:cNvSpPr>
          <a:spLocks noChangeAspect="1" noChangeArrowheads="1"/>
        </xdr:cNvSpPr>
      </xdr:nvSpPr>
      <xdr:spPr bwMode="auto">
        <a:xfrm>
          <a:off x="0" y="55559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285</xdr:row>
      <xdr:rowOff>0</xdr:rowOff>
    </xdr:from>
    <xdr:ext cx="304800" cy="304800"/>
    <xdr:sp macro="" textlink="">
      <xdr:nvSpPr>
        <xdr:cNvPr id="65" name="AutoShape 4">
          <a:extLst>
            <a:ext uri="{FF2B5EF4-FFF2-40B4-BE49-F238E27FC236}">
              <a16:creationId xmlns:a16="http://schemas.microsoft.com/office/drawing/2014/main" id="{00000000-0008-0000-0300-000041000000}"/>
            </a:ext>
          </a:extLst>
        </xdr:cNvPr>
        <xdr:cNvSpPr>
          <a:spLocks noChangeAspect="1" noChangeArrowheads="1"/>
        </xdr:cNvSpPr>
      </xdr:nvSpPr>
      <xdr:spPr bwMode="auto">
        <a:xfrm>
          <a:off x="1047750" y="55940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285</xdr:row>
      <xdr:rowOff>0</xdr:rowOff>
    </xdr:from>
    <xdr:ext cx="304800" cy="304800"/>
    <xdr:sp macro="" textlink="">
      <xdr:nvSpPr>
        <xdr:cNvPr id="66" name="AutoShape 5">
          <a:extLst>
            <a:ext uri="{FF2B5EF4-FFF2-40B4-BE49-F238E27FC236}">
              <a16:creationId xmlns:a16="http://schemas.microsoft.com/office/drawing/2014/main" id="{00000000-0008-0000-0300-000042000000}"/>
            </a:ext>
          </a:extLst>
        </xdr:cNvPr>
        <xdr:cNvSpPr>
          <a:spLocks noChangeAspect="1" noChangeArrowheads="1"/>
        </xdr:cNvSpPr>
      </xdr:nvSpPr>
      <xdr:spPr bwMode="auto">
        <a:xfrm>
          <a:off x="1047750" y="55940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282</xdr:row>
      <xdr:rowOff>0</xdr:rowOff>
    </xdr:from>
    <xdr:ext cx="304800" cy="304800"/>
    <xdr:sp macro="" textlink="">
      <xdr:nvSpPr>
        <xdr:cNvPr id="67" name="AutoShape 6">
          <a:extLst>
            <a:ext uri="{FF2B5EF4-FFF2-40B4-BE49-F238E27FC236}">
              <a16:creationId xmlns:a16="http://schemas.microsoft.com/office/drawing/2014/main" id="{00000000-0008-0000-0300-000043000000}"/>
            </a:ext>
          </a:extLst>
        </xdr:cNvPr>
        <xdr:cNvSpPr>
          <a:spLocks noChangeAspect="1" noChangeArrowheads="1"/>
        </xdr:cNvSpPr>
      </xdr:nvSpPr>
      <xdr:spPr bwMode="auto">
        <a:xfrm>
          <a:off x="1047750" y="5536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282</xdr:row>
      <xdr:rowOff>0</xdr:rowOff>
    </xdr:from>
    <xdr:ext cx="304800" cy="304800"/>
    <xdr:sp macro="" textlink="">
      <xdr:nvSpPr>
        <xdr:cNvPr id="68" name="AutoShape 7">
          <a:extLst>
            <a:ext uri="{FF2B5EF4-FFF2-40B4-BE49-F238E27FC236}">
              <a16:creationId xmlns:a16="http://schemas.microsoft.com/office/drawing/2014/main" id="{00000000-0008-0000-0300-000044000000}"/>
            </a:ext>
          </a:extLst>
        </xdr:cNvPr>
        <xdr:cNvSpPr>
          <a:spLocks noChangeAspect="1" noChangeArrowheads="1"/>
        </xdr:cNvSpPr>
      </xdr:nvSpPr>
      <xdr:spPr bwMode="auto">
        <a:xfrm>
          <a:off x="1047750" y="55368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200025</xdr:colOff>
      <xdr:row>5</xdr:row>
      <xdr:rowOff>76200</xdr:rowOff>
    </xdr:from>
    <xdr:to>
      <xdr:col>3</xdr:col>
      <xdr:colOff>896775</xdr:colOff>
      <xdr:row>20</xdr:row>
      <xdr:rowOff>98700</xdr:rowOff>
    </xdr:to>
    <xdr:pic>
      <xdr:nvPicPr>
        <xdr:cNvPr id="69" name="Imagem 68">
          <a:extLst>
            <a:ext uri="{FF2B5EF4-FFF2-40B4-BE49-F238E27FC236}">
              <a16:creationId xmlns:a16="http://schemas.microsoft.com/office/drawing/2014/main" id="{00000000-0008-0000-0300-00004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1276350"/>
          <a:ext cx="3840000" cy="2880000"/>
        </a:xfrm>
        <a:prstGeom prst="rect">
          <a:avLst/>
        </a:prstGeom>
      </xdr:spPr>
    </xdr:pic>
    <xdr:clientData/>
  </xdr:twoCellAnchor>
  <xdr:twoCellAnchor editAs="oneCell">
    <xdr:from>
      <xdr:col>4</xdr:col>
      <xdr:colOff>133350</xdr:colOff>
      <xdr:row>5</xdr:row>
      <xdr:rowOff>76200</xdr:rowOff>
    </xdr:from>
    <xdr:to>
      <xdr:col>7</xdr:col>
      <xdr:colOff>830100</xdr:colOff>
      <xdr:row>20</xdr:row>
      <xdr:rowOff>98700</xdr:rowOff>
    </xdr:to>
    <xdr:pic>
      <xdr:nvPicPr>
        <xdr:cNvPr id="70" name="Imagem 69">
          <a:extLst>
            <a:ext uri="{FF2B5EF4-FFF2-40B4-BE49-F238E27FC236}">
              <a16:creationId xmlns:a16="http://schemas.microsoft.com/office/drawing/2014/main" id="{00000000-0008-0000-0300-00004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24350" y="1276350"/>
          <a:ext cx="3840000" cy="2880000"/>
        </a:xfrm>
        <a:prstGeom prst="rect">
          <a:avLst/>
        </a:prstGeom>
      </xdr:spPr>
    </xdr:pic>
    <xdr:clientData/>
  </xdr:twoCellAnchor>
  <xdr:twoCellAnchor editAs="oneCell">
    <xdr:from>
      <xdr:col>0</xdr:col>
      <xdr:colOff>209550</xdr:colOff>
      <xdr:row>22</xdr:row>
      <xdr:rowOff>114300</xdr:rowOff>
    </xdr:from>
    <xdr:to>
      <xdr:col>3</xdr:col>
      <xdr:colOff>906300</xdr:colOff>
      <xdr:row>36</xdr:row>
      <xdr:rowOff>193950</xdr:rowOff>
    </xdr:to>
    <xdr:pic>
      <xdr:nvPicPr>
        <xdr:cNvPr id="71" name="Imagem 70">
          <a:extLst>
            <a:ext uri="{FF2B5EF4-FFF2-40B4-BE49-F238E27FC236}">
              <a16:creationId xmlns:a16="http://schemas.microsoft.com/office/drawing/2014/main" id="{00000000-0008-0000-0300-00004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9550" y="4610100"/>
          <a:ext cx="3840000" cy="2880000"/>
        </a:xfrm>
        <a:prstGeom prst="rect">
          <a:avLst/>
        </a:prstGeom>
      </xdr:spPr>
    </xdr:pic>
    <xdr:clientData/>
  </xdr:twoCellAnchor>
  <xdr:twoCellAnchor editAs="oneCell">
    <xdr:from>
      <xdr:col>4</xdr:col>
      <xdr:colOff>161925</xdr:colOff>
      <xdr:row>22</xdr:row>
      <xdr:rowOff>95250</xdr:rowOff>
    </xdr:from>
    <xdr:to>
      <xdr:col>7</xdr:col>
      <xdr:colOff>858675</xdr:colOff>
      <xdr:row>36</xdr:row>
      <xdr:rowOff>174900</xdr:rowOff>
    </xdr:to>
    <xdr:pic>
      <xdr:nvPicPr>
        <xdr:cNvPr id="72" name="Imagem 71">
          <a:extLst>
            <a:ext uri="{FF2B5EF4-FFF2-40B4-BE49-F238E27FC236}">
              <a16:creationId xmlns:a16="http://schemas.microsoft.com/office/drawing/2014/main" id="{00000000-0008-0000-0300-00004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352925" y="4591050"/>
          <a:ext cx="3840000" cy="2880000"/>
        </a:xfrm>
        <a:prstGeom prst="rect">
          <a:avLst/>
        </a:prstGeom>
      </xdr:spPr>
    </xdr:pic>
    <xdr:clientData/>
  </xdr:twoCellAnchor>
  <xdr:twoCellAnchor editAs="oneCell">
    <xdr:from>
      <xdr:col>0</xdr:col>
      <xdr:colOff>238125</xdr:colOff>
      <xdr:row>39</xdr:row>
      <xdr:rowOff>57150</xdr:rowOff>
    </xdr:from>
    <xdr:to>
      <xdr:col>3</xdr:col>
      <xdr:colOff>934875</xdr:colOff>
      <xdr:row>54</xdr:row>
      <xdr:rowOff>79650</xdr:rowOff>
    </xdr:to>
    <xdr:pic>
      <xdr:nvPicPr>
        <xdr:cNvPr id="73" name="Imagem 72">
          <a:extLst>
            <a:ext uri="{FF2B5EF4-FFF2-40B4-BE49-F238E27FC236}">
              <a16:creationId xmlns:a16="http://schemas.microsoft.com/office/drawing/2014/main" id="{00000000-0008-0000-0300-00004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38125" y="8001000"/>
          <a:ext cx="3840000" cy="2880000"/>
        </a:xfrm>
        <a:prstGeom prst="rect">
          <a:avLst/>
        </a:prstGeom>
      </xdr:spPr>
    </xdr:pic>
    <xdr:clientData/>
  </xdr:twoCellAnchor>
  <xdr:twoCellAnchor editAs="oneCell">
    <xdr:from>
      <xdr:col>4</xdr:col>
      <xdr:colOff>152400</xdr:colOff>
      <xdr:row>39</xdr:row>
      <xdr:rowOff>47625</xdr:rowOff>
    </xdr:from>
    <xdr:to>
      <xdr:col>7</xdr:col>
      <xdr:colOff>849150</xdr:colOff>
      <xdr:row>54</xdr:row>
      <xdr:rowOff>70125</xdr:rowOff>
    </xdr:to>
    <xdr:pic>
      <xdr:nvPicPr>
        <xdr:cNvPr id="74" name="Imagem 73">
          <a:extLst>
            <a:ext uri="{FF2B5EF4-FFF2-40B4-BE49-F238E27FC236}">
              <a16:creationId xmlns:a16="http://schemas.microsoft.com/office/drawing/2014/main" id="{00000000-0008-0000-0300-00004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343400" y="7991475"/>
          <a:ext cx="3840000" cy="2880000"/>
        </a:xfrm>
        <a:prstGeom prst="rect">
          <a:avLst/>
        </a:prstGeom>
      </xdr:spPr>
    </xdr:pic>
    <xdr:clientData/>
  </xdr:twoCellAnchor>
  <xdr:twoCellAnchor editAs="oneCell">
    <xdr:from>
      <xdr:col>0</xdr:col>
      <xdr:colOff>200025</xdr:colOff>
      <xdr:row>60</xdr:row>
      <xdr:rowOff>76200</xdr:rowOff>
    </xdr:from>
    <xdr:to>
      <xdr:col>3</xdr:col>
      <xdr:colOff>896775</xdr:colOff>
      <xdr:row>75</xdr:row>
      <xdr:rowOff>98700</xdr:rowOff>
    </xdr:to>
    <xdr:pic>
      <xdr:nvPicPr>
        <xdr:cNvPr id="75" name="Imagem 74">
          <a:extLst>
            <a:ext uri="{FF2B5EF4-FFF2-40B4-BE49-F238E27FC236}">
              <a16:creationId xmlns:a16="http://schemas.microsoft.com/office/drawing/2014/main" id="{00000000-0008-0000-0300-00004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0025" y="12172950"/>
          <a:ext cx="3840000" cy="2880000"/>
        </a:xfrm>
        <a:prstGeom prst="rect">
          <a:avLst/>
        </a:prstGeom>
      </xdr:spPr>
    </xdr:pic>
    <xdr:clientData/>
  </xdr:twoCellAnchor>
  <xdr:twoCellAnchor editAs="oneCell">
    <xdr:from>
      <xdr:col>4</xdr:col>
      <xdr:colOff>133350</xdr:colOff>
      <xdr:row>60</xdr:row>
      <xdr:rowOff>66675</xdr:rowOff>
    </xdr:from>
    <xdr:to>
      <xdr:col>7</xdr:col>
      <xdr:colOff>830100</xdr:colOff>
      <xdr:row>75</xdr:row>
      <xdr:rowOff>89175</xdr:rowOff>
    </xdr:to>
    <xdr:pic>
      <xdr:nvPicPr>
        <xdr:cNvPr id="76" name="Imagem 75">
          <a:extLst>
            <a:ext uri="{FF2B5EF4-FFF2-40B4-BE49-F238E27FC236}">
              <a16:creationId xmlns:a16="http://schemas.microsoft.com/office/drawing/2014/main" id="{00000000-0008-0000-0300-00004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324350" y="12163425"/>
          <a:ext cx="3840000" cy="2880000"/>
        </a:xfrm>
        <a:prstGeom prst="rect">
          <a:avLst/>
        </a:prstGeom>
      </xdr:spPr>
    </xdr:pic>
    <xdr:clientData/>
  </xdr:twoCellAnchor>
  <xdr:twoCellAnchor editAs="oneCell">
    <xdr:from>
      <xdr:col>0</xdr:col>
      <xdr:colOff>171450</xdr:colOff>
      <xdr:row>77</xdr:row>
      <xdr:rowOff>57150</xdr:rowOff>
    </xdr:from>
    <xdr:to>
      <xdr:col>3</xdr:col>
      <xdr:colOff>868200</xdr:colOff>
      <xdr:row>92</xdr:row>
      <xdr:rowOff>79650</xdr:rowOff>
    </xdr:to>
    <xdr:pic>
      <xdr:nvPicPr>
        <xdr:cNvPr id="77" name="Imagem 76">
          <a:extLst>
            <a:ext uri="{FF2B5EF4-FFF2-40B4-BE49-F238E27FC236}">
              <a16:creationId xmlns:a16="http://schemas.microsoft.com/office/drawing/2014/main" id="{00000000-0008-0000-0300-00004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1450" y="15440025"/>
          <a:ext cx="3840000" cy="2880000"/>
        </a:xfrm>
        <a:prstGeom prst="rect">
          <a:avLst/>
        </a:prstGeom>
      </xdr:spPr>
    </xdr:pic>
    <xdr:clientData/>
  </xdr:twoCellAnchor>
  <xdr:twoCellAnchor editAs="oneCell">
    <xdr:from>
      <xdr:col>4</xdr:col>
      <xdr:colOff>171450</xdr:colOff>
      <xdr:row>77</xdr:row>
      <xdr:rowOff>76200</xdr:rowOff>
    </xdr:from>
    <xdr:to>
      <xdr:col>7</xdr:col>
      <xdr:colOff>868200</xdr:colOff>
      <xdr:row>92</xdr:row>
      <xdr:rowOff>98700</xdr:rowOff>
    </xdr:to>
    <xdr:pic>
      <xdr:nvPicPr>
        <xdr:cNvPr id="78" name="Imagem 77">
          <a:extLst>
            <a:ext uri="{FF2B5EF4-FFF2-40B4-BE49-F238E27FC236}">
              <a16:creationId xmlns:a16="http://schemas.microsoft.com/office/drawing/2014/main" id="{00000000-0008-0000-0300-00004E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362450" y="15459075"/>
          <a:ext cx="3840000" cy="2880000"/>
        </a:xfrm>
        <a:prstGeom prst="rect">
          <a:avLst/>
        </a:prstGeom>
      </xdr:spPr>
    </xdr:pic>
    <xdr:clientData/>
  </xdr:twoCellAnchor>
  <xdr:twoCellAnchor editAs="oneCell">
    <xdr:from>
      <xdr:col>0</xdr:col>
      <xdr:colOff>238125</xdr:colOff>
      <xdr:row>94</xdr:row>
      <xdr:rowOff>85725</xdr:rowOff>
    </xdr:from>
    <xdr:to>
      <xdr:col>3</xdr:col>
      <xdr:colOff>934875</xdr:colOff>
      <xdr:row>109</xdr:row>
      <xdr:rowOff>108225</xdr:rowOff>
    </xdr:to>
    <xdr:pic>
      <xdr:nvPicPr>
        <xdr:cNvPr id="79" name="Imagem 78">
          <a:extLst>
            <a:ext uri="{FF2B5EF4-FFF2-40B4-BE49-F238E27FC236}">
              <a16:creationId xmlns:a16="http://schemas.microsoft.com/office/drawing/2014/main" id="{00000000-0008-0000-0300-00004F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38125" y="18754725"/>
          <a:ext cx="3840000" cy="2880000"/>
        </a:xfrm>
        <a:prstGeom prst="rect">
          <a:avLst/>
        </a:prstGeom>
      </xdr:spPr>
    </xdr:pic>
    <xdr:clientData/>
  </xdr:twoCellAnchor>
  <xdr:twoCellAnchor editAs="oneCell">
    <xdr:from>
      <xdr:col>4</xdr:col>
      <xdr:colOff>161925</xdr:colOff>
      <xdr:row>94</xdr:row>
      <xdr:rowOff>95250</xdr:rowOff>
    </xdr:from>
    <xdr:to>
      <xdr:col>7</xdr:col>
      <xdr:colOff>858675</xdr:colOff>
      <xdr:row>109</xdr:row>
      <xdr:rowOff>117750</xdr:rowOff>
    </xdr:to>
    <xdr:pic>
      <xdr:nvPicPr>
        <xdr:cNvPr id="80" name="Imagem 79">
          <a:extLst>
            <a:ext uri="{FF2B5EF4-FFF2-40B4-BE49-F238E27FC236}">
              <a16:creationId xmlns:a16="http://schemas.microsoft.com/office/drawing/2014/main" id="{00000000-0008-0000-0300-000050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4352925" y="18764250"/>
          <a:ext cx="3840000" cy="2880000"/>
        </a:xfrm>
        <a:prstGeom prst="rect">
          <a:avLst/>
        </a:prstGeom>
      </xdr:spPr>
    </xdr:pic>
    <xdr:clientData/>
  </xdr:twoCellAnchor>
  <xdr:twoCellAnchor editAs="oneCell">
    <xdr:from>
      <xdr:col>0</xdr:col>
      <xdr:colOff>209550</xdr:colOff>
      <xdr:row>115</xdr:row>
      <xdr:rowOff>66675</xdr:rowOff>
    </xdr:from>
    <xdr:to>
      <xdr:col>3</xdr:col>
      <xdr:colOff>906300</xdr:colOff>
      <xdr:row>130</xdr:row>
      <xdr:rowOff>89175</xdr:rowOff>
    </xdr:to>
    <xdr:pic>
      <xdr:nvPicPr>
        <xdr:cNvPr id="81" name="Imagem 80">
          <a:extLst>
            <a:ext uri="{FF2B5EF4-FFF2-40B4-BE49-F238E27FC236}">
              <a16:creationId xmlns:a16="http://schemas.microsoft.com/office/drawing/2014/main" id="{00000000-0008-0000-0300-000051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209550" y="22879050"/>
          <a:ext cx="3840000" cy="2880000"/>
        </a:xfrm>
        <a:prstGeom prst="rect">
          <a:avLst/>
        </a:prstGeom>
      </xdr:spPr>
    </xdr:pic>
    <xdr:clientData/>
  </xdr:twoCellAnchor>
  <xdr:twoCellAnchor editAs="oneCell">
    <xdr:from>
      <xdr:col>4</xdr:col>
      <xdr:colOff>123825</xdr:colOff>
      <xdr:row>115</xdr:row>
      <xdr:rowOff>57150</xdr:rowOff>
    </xdr:from>
    <xdr:to>
      <xdr:col>7</xdr:col>
      <xdr:colOff>820575</xdr:colOff>
      <xdr:row>130</xdr:row>
      <xdr:rowOff>79650</xdr:rowOff>
    </xdr:to>
    <xdr:pic>
      <xdr:nvPicPr>
        <xdr:cNvPr id="82" name="Imagem 81">
          <a:extLst>
            <a:ext uri="{FF2B5EF4-FFF2-40B4-BE49-F238E27FC236}">
              <a16:creationId xmlns:a16="http://schemas.microsoft.com/office/drawing/2014/main" id="{00000000-0008-0000-0300-000052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314825" y="22869525"/>
          <a:ext cx="3840000" cy="2880000"/>
        </a:xfrm>
        <a:prstGeom prst="rect">
          <a:avLst/>
        </a:prstGeom>
      </xdr:spPr>
    </xdr:pic>
    <xdr:clientData/>
  </xdr:twoCellAnchor>
  <xdr:twoCellAnchor editAs="oneCell">
    <xdr:from>
      <xdr:col>0</xdr:col>
      <xdr:colOff>190500</xdr:colOff>
      <xdr:row>132</xdr:row>
      <xdr:rowOff>104775</xdr:rowOff>
    </xdr:from>
    <xdr:to>
      <xdr:col>3</xdr:col>
      <xdr:colOff>887250</xdr:colOff>
      <xdr:row>147</xdr:row>
      <xdr:rowOff>127275</xdr:rowOff>
    </xdr:to>
    <xdr:pic>
      <xdr:nvPicPr>
        <xdr:cNvPr id="83" name="Imagem 82">
          <a:extLst>
            <a:ext uri="{FF2B5EF4-FFF2-40B4-BE49-F238E27FC236}">
              <a16:creationId xmlns:a16="http://schemas.microsoft.com/office/drawing/2014/main" id="{00000000-0008-0000-0300-000053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90500" y="26203275"/>
          <a:ext cx="3840000" cy="2880000"/>
        </a:xfrm>
        <a:prstGeom prst="rect">
          <a:avLst/>
        </a:prstGeom>
      </xdr:spPr>
    </xdr:pic>
    <xdr:clientData/>
  </xdr:twoCellAnchor>
  <xdr:twoCellAnchor editAs="oneCell">
    <xdr:from>
      <xdr:col>5</xdr:col>
      <xdr:colOff>30750</xdr:colOff>
      <xdr:row>132</xdr:row>
      <xdr:rowOff>66675</xdr:rowOff>
    </xdr:from>
    <xdr:to>
      <xdr:col>7</xdr:col>
      <xdr:colOff>95250</xdr:colOff>
      <xdr:row>147</xdr:row>
      <xdr:rowOff>89175</xdr:rowOff>
    </xdr:to>
    <xdr:pic>
      <xdr:nvPicPr>
        <xdr:cNvPr id="84" name="Imagem 83">
          <a:extLst>
            <a:ext uri="{FF2B5EF4-FFF2-40B4-BE49-F238E27FC236}">
              <a16:creationId xmlns:a16="http://schemas.microsoft.com/office/drawing/2014/main" id="{00000000-0008-0000-0300-000054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rot="5400000">
          <a:off x="4909500" y="26525175"/>
          <a:ext cx="2880000" cy="2160000"/>
        </a:xfrm>
        <a:prstGeom prst="rect">
          <a:avLst/>
        </a:prstGeom>
      </xdr:spPr>
    </xdr:pic>
    <xdr:clientData/>
  </xdr:twoCellAnchor>
  <xdr:twoCellAnchor editAs="oneCell">
    <xdr:from>
      <xdr:col>0</xdr:col>
      <xdr:colOff>161925</xdr:colOff>
      <xdr:row>149</xdr:row>
      <xdr:rowOff>57150</xdr:rowOff>
    </xdr:from>
    <xdr:to>
      <xdr:col>3</xdr:col>
      <xdr:colOff>858675</xdr:colOff>
      <xdr:row>164</xdr:row>
      <xdr:rowOff>79650</xdr:rowOff>
    </xdr:to>
    <xdr:pic>
      <xdr:nvPicPr>
        <xdr:cNvPr id="85" name="Imagem 84">
          <a:extLst>
            <a:ext uri="{FF2B5EF4-FFF2-40B4-BE49-F238E27FC236}">
              <a16:creationId xmlns:a16="http://schemas.microsoft.com/office/drawing/2014/main" id="{00000000-0008-0000-0300-000055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61925" y="29441775"/>
          <a:ext cx="3840000" cy="2880000"/>
        </a:xfrm>
        <a:prstGeom prst="rect">
          <a:avLst/>
        </a:prstGeom>
      </xdr:spPr>
    </xdr:pic>
    <xdr:clientData/>
  </xdr:twoCellAnchor>
  <xdr:twoCellAnchor editAs="oneCell">
    <xdr:from>
      <xdr:col>4</xdr:col>
      <xdr:colOff>161925</xdr:colOff>
      <xdr:row>149</xdr:row>
      <xdr:rowOff>47625</xdr:rowOff>
    </xdr:from>
    <xdr:to>
      <xdr:col>7</xdr:col>
      <xdr:colOff>858675</xdr:colOff>
      <xdr:row>164</xdr:row>
      <xdr:rowOff>70125</xdr:rowOff>
    </xdr:to>
    <xdr:pic>
      <xdr:nvPicPr>
        <xdr:cNvPr id="86" name="Imagem 85">
          <a:extLst>
            <a:ext uri="{FF2B5EF4-FFF2-40B4-BE49-F238E27FC236}">
              <a16:creationId xmlns:a16="http://schemas.microsoft.com/office/drawing/2014/main" id="{00000000-0008-0000-0300-000056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4352925" y="29432250"/>
          <a:ext cx="3840000" cy="2880000"/>
        </a:xfrm>
        <a:prstGeom prst="rect">
          <a:avLst/>
        </a:prstGeom>
      </xdr:spPr>
    </xdr:pic>
    <xdr:clientData/>
  </xdr:twoCellAnchor>
  <xdr:twoCellAnchor editAs="oneCell">
    <xdr:from>
      <xdr:col>0</xdr:col>
      <xdr:colOff>161925</xdr:colOff>
      <xdr:row>170</xdr:row>
      <xdr:rowOff>85725</xdr:rowOff>
    </xdr:from>
    <xdr:to>
      <xdr:col>3</xdr:col>
      <xdr:colOff>858675</xdr:colOff>
      <xdr:row>185</xdr:row>
      <xdr:rowOff>108225</xdr:rowOff>
    </xdr:to>
    <xdr:pic>
      <xdr:nvPicPr>
        <xdr:cNvPr id="87" name="Imagem 86">
          <a:extLst>
            <a:ext uri="{FF2B5EF4-FFF2-40B4-BE49-F238E27FC236}">
              <a16:creationId xmlns:a16="http://schemas.microsoft.com/office/drawing/2014/main" id="{00000000-0008-0000-0300-000057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61925" y="33623250"/>
          <a:ext cx="3840000" cy="2880000"/>
        </a:xfrm>
        <a:prstGeom prst="rect">
          <a:avLst/>
        </a:prstGeom>
      </xdr:spPr>
    </xdr:pic>
    <xdr:clientData/>
  </xdr:twoCellAnchor>
  <xdr:twoCellAnchor editAs="oneCell">
    <xdr:from>
      <xdr:col>4</xdr:col>
      <xdr:colOff>161925</xdr:colOff>
      <xdr:row>170</xdr:row>
      <xdr:rowOff>76200</xdr:rowOff>
    </xdr:from>
    <xdr:to>
      <xdr:col>7</xdr:col>
      <xdr:colOff>858675</xdr:colOff>
      <xdr:row>185</xdr:row>
      <xdr:rowOff>98700</xdr:rowOff>
    </xdr:to>
    <xdr:pic>
      <xdr:nvPicPr>
        <xdr:cNvPr id="88" name="Imagem 87">
          <a:extLst>
            <a:ext uri="{FF2B5EF4-FFF2-40B4-BE49-F238E27FC236}">
              <a16:creationId xmlns:a16="http://schemas.microsoft.com/office/drawing/2014/main" id="{00000000-0008-0000-0300-000058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4352925" y="33613725"/>
          <a:ext cx="3840000" cy="2880000"/>
        </a:xfrm>
        <a:prstGeom prst="rect">
          <a:avLst/>
        </a:prstGeom>
      </xdr:spPr>
    </xdr:pic>
    <xdr:clientData/>
  </xdr:twoCellAnchor>
  <xdr:twoCellAnchor editAs="oneCell">
    <xdr:from>
      <xdr:col>0</xdr:col>
      <xdr:colOff>190500</xdr:colOff>
      <xdr:row>187</xdr:row>
      <xdr:rowOff>76200</xdr:rowOff>
    </xdr:from>
    <xdr:to>
      <xdr:col>3</xdr:col>
      <xdr:colOff>887250</xdr:colOff>
      <xdr:row>202</xdr:row>
      <xdr:rowOff>98700</xdr:rowOff>
    </xdr:to>
    <xdr:pic>
      <xdr:nvPicPr>
        <xdr:cNvPr id="89" name="Imagem 88">
          <a:extLst>
            <a:ext uri="{FF2B5EF4-FFF2-40B4-BE49-F238E27FC236}">
              <a16:creationId xmlns:a16="http://schemas.microsoft.com/office/drawing/2014/main" id="{00000000-0008-0000-0300-000059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90500" y="36899850"/>
          <a:ext cx="3840000" cy="2880000"/>
        </a:xfrm>
        <a:prstGeom prst="rect">
          <a:avLst/>
        </a:prstGeom>
      </xdr:spPr>
    </xdr:pic>
    <xdr:clientData/>
  </xdr:twoCellAnchor>
  <xdr:twoCellAnchor editAs="oneCell">
    <xdr:from>
      <xdr:col>4</xdr:col>
      <xdr:colOff>142875</xdr:colOff>
      <xdr:row>187</xdr:row>
      <xdr:rowOff>85725</xdr:rowOff>
    </xdr:from>
    <xdr:to>
      <xdr:col>7</xdr:col>
      <xdr:colOff>839625</xdr:colOff>
      <xdr:row>202</xdr:row>
      <xdr:rowOff>108225</xdr:rowOff>
    </xdr:to>
    <xdr:pic>
      <xdr:nvPicPr>
        <xdr:cNvPr id="90" name="Imagem 89">
          <a:extLst>
            <a:ext uri="{FF2B5EF4-FFF2-40B4-BE49-F238E27FC236}">
              <a16:creationId xmlns:a16="http://schemas.microsoft.com/office/drawing/2014/main" id="{00000000-0008-0000-0300-00005A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333875" y="36909375"/>
          <a:ext cx="3840000" cy="2880000"/>
        </a:xfrm>
        <a:prstGeom prst="rect">
          <a:avLst/>
        </a:prstGeom>
      </xdr:spPr>
    </xdr:pic>
    <xdr:clientData/>
  </xdr:twoCellAnchor>
  <xdr:twoCellAnchor editAs="oneCell">
    <xdr:from>
      <xdr:col>0</xdr:col>
      <xdr:colOff>152400</xdr:colOff>
      <xdr:row>204</xdr:row>
      <xdr:rowOff>57150</xdr:rowOff>
    </xdr:from>
    <xdr:to>
      <xdr:col>3</xdr:col>
      <xdr:colOff>849150</xdr:colOff>
      <xdr:row>219</xdr:row>
      <xdr:rowOff>79650</xdr:rowOff>
    </xdr:to>
    <xdr:pic>
      <xdr:nvPicPr>
        <xdr:cNvPr id="91" name="Imagem 90">
          <a:extLst>
            <a:ext uri="{FF2B5EF4-FFF2-40B4-BE49-F238E27FC236}">
              <a16:creationId xmlns:a16="http://schemas.microsoft.com/office/drawing/2014/main" id="{00000000-0008-0000-0300-00005B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52400" y="40166925"/>
          <a:ext cx="3840000" cy="2880000"/>
        </a:xfrm>
        <a:prstGeom prst="rect">
          <a:avLst/>
        </a:prstGeom>
      </xdr:spPr>
    </xdr:pic>
    <xdr:clientData/>
  </xdr:twoCellAnchor>
  <xdr:twoCellAnchor editAs="oneCell">
    <xdr:from>
      <xdr:col>4</xdr:col>
      <xdr:colOff>180975</xdr:colOff>
      <xdr:row>204</xdr:row>
      <xdr:rowOff>47625</xdr:rowOff>
    </xdr:from>
    <xdr:to>
      <xdr:col>7</xdr:col>
      <xdr:colOff>877725</xdr:colOff>
      <xdr:row>219</xdr:row>
      <xdr:rowOff>70125</xdr:rowOff>
    </xdr:to>
    <xdr:pic>
      <xdr:nvPicPr>
        <xdr:cNvPr id="92" name="Imagem 91">
          <a:extLst>
            <a:ext uri="{FF2B5EF4-FFF2-40B4-BE49-F238E27FC236}">
              <a16:creationId xmlns:a16="http://schemas.microsoft.com/office/drawing/2014/main" id="{00000000-0008-0000-0300-00005C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4371975" y="40157400"/>
          <a:ext cx="3840000" cy="2880000"/>
        </a:xfrm>
        <a:prstGeom prst="rect">
          <a:avLst/>
        </a:prstGeom>
      </xdr:spPr>
    </xdr:pic>
    <xdr:clientData/>
  </xdr:twoCellAnchor>
  <xdr:twoCellAnchor editAs="oneCell">
    <xdr:from>
      <xdr:col>0</xdr:col>
      <xdr:colOff>200025</xdr:colOff>
      <xdr:row>225</xdr:row>
      <xdr:rowOff>66675</xdr:rowOff>
    </xdr:from>
    <xdr:to>
      <xdr:col>3</xdr:col>
      <xdr:colOff>896775</xdr:colOff>
      <xdr:row>240</xdr:row>
      <xdr:rowOff>89175</xdr:rowOff>
    </xdr:to>
    <xdr:pic>
      <xdr:nvPicPr>
        <xdr:cNvPr id="93" name="Imagem 92">
          <a:extLst>
            <a:ext uri="{FF2B5EF4-FFF2-40B4-BE49-F238E27FC236}">
              <a16:creationId xmlns:a16="http://schemas.microsoft.com/office/drawing/2014/main" id="{00000000-0008-0000-0300-00005D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200025" y="44329350"/>
          <a:ext cx="3840000" cy="2880000"/>
        </a:xfrm>
        <a:prstGeom prst="rect">
          <a:avLst/>
        </a:prstGeom>
      </xdr:spPr>
    </xdr:pic>
    <xdr:clientData/>
  </xdr:twoCellAnchor>
  <xdr:twoCellAnchor editAs="oneCell">
    <xdr:from>
      <xdr:col>4</xdr:col>
      <xdr:colOff>228600</xdr:colOff>
      <xdr:row>225</xdr:row>
      <xdr:rowOff>38100</xdr:rowOff>
    </xdr:from>
    <xdr:to>
      <xdr:col>7</xdr:col>
      <xdr:colOff>925350</xdr:colOff>
      <xdr:row>240</xdr:row>
      <xdr:rowOff>60600</xdr:rowOff>
    </xdr:to>
    <xdr:pic>
      <xdr:nvPicPr>
        <xdr:cNvPr id="94" name="Imagem 93">
          <a:extLst>
            <a:ext uri="{FF2B5EF4-FFF2-40B4-BE49-F238E27FC236}">
              <a16:creationId xmlns:a16="http://schemas.microsoft.com/office/drawing/2014/main" id="{00000000-0008-0000-0300-00005E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4419600" y="44300775"/>
          <a:ext cx="3840000" cy="2880000"/>
        </a:xfrm>
        <a:prstGeom prst="rect">
          <a:avLst/>
        </a:prstGeom>
      </xdr:spPr>
    </xdr:pic>
    <xdr:clientData/>
  </xdr:twoCellAnchor>
  <xdr:twoCellAnchor editAs="oneCell">
    <xdr:from>
      <xdr:col>0</xdr:col>
      <xdr:colOff>200025</xdr:colOff>
      <xdr:row>242</xdr:row>
      <xdr:rowOff>38100</xdr:rowOff>
    </xdr:from>
    <xdr:to>
      <xdr:col>3</xdr:col>
      <xdr:colOff>896775</xdr:colOff>
      <xdr:row>257</xdr:row>
      <xdr:rowOff>60600</xdr:rowOff>
    </xdr:to>
    <xdr:pic>
      <xdr:nvPicPr>
        <xdr:cNvPr id="95" name="Imagem 94">
          <a:extLst>
            <a:ext uri="{FF2B5EF4-FFF2-40B4-BE49-F238E27FC236}">
              <a16:creationId xmlns:a16="http://schemas.microsoft.com/office/drawing/2014/main" id="{00000000-0008-0000-0300-00005F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00025" y="47586900"/>
          <a:ext cx="3840000" cy="2880000"/>
        </a:xfrm>
        <a:prstGeom prst="rect">
          <a:avLst/>
        </a:prstGeom>
      </xdr:spPr>
    </xdr:pic>
    <xdr:clientData/>
  </xdr:twoCellAnchor>
  <xdr:twoCellAnchor editAs="oneCell">
    <xdr:from>
      <xdr:col>0</xdr:col>
      <xdr:colOff>180975</xdr:colOff>
      <xdr:row>259</xdr:row>
      <xdr:rowOff>76200</xdr:rowOff>
    </xdr:from>
    <xdr:to>
      <xdr:col>3</xdr:col>
      <xdr:colOff>877725</xdr:colOff>
      <xdr:row>274</xdr:row>
      <xdr:rowOff>98700</xdr:rowOff>
    </xdr:to>
    <xdr:pic>
      <xdr:nvPicPr>
        <xdr:cNvPr id="96" name="Imagem 95">
          <a:extLst>
            <a:ext uri="{FF2B5EF4-FFF2-40B4-BE49-F238E27FC236}">
              <a16:creationId xmlns:a16="http://schemas.microsoft.com/office/drawing/2014/main" id="{00000000-0008-0000-0300-000060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80975" y="50911125"/>
          <a:ext cx="3840000" cy="2880000"/>
        </a:xfrm>
        <a:prstGeom prst="rect">
          <a:avLst/>
        </a:prstGeom>
      </xdr:spPr>
    </xdr:pic>
    <xdr:clientData/>
  </xdr:twoCellAnchor>
  <xdr:twoCellAnchor editAs="oneCell">
    <xdr:from>
      <xdr:col>4</xdr:col>
      <xdr:colOff>180975</xdr:colOff>
      <xdr:row>259</xdr:row>
      <xdr:rowOff>85725</xdr:rowOff>
    </xdr:from>
    <xdr:to>
      <xdr:col>7</xdr:col>
      <xdr:colOff>877725</xdr:colOff>
      <xdr:row>274</xdr:row>
      <xdr:rowOff>108225</xdr:rowOff>
    </xdr:to>
    <xdr:pic>
      <xdr:nvPicPr>
        <xdr:cNvPr id="97" name="Imagem 96">
          <a:extLst>
            <a:ext uri="{FF2B5EF4-FFF2-40B4-BE49-F238E27FC236}">
              <a16:creationId xmlns:a16="http://schemas.microsoft.com/office/drawing/2014/main" id="{00000000-0008-0000-0300-000061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4371975" y="50920650"/>
          <a:ext cx="3840000" cy="2880000"/>
        </a:xfrm>
        <a:prstGeom prst="rect">
          <a:avLst/>
        </a:prstGeom>
      </xdr:spPr>
    </xdr:pic>
    <xdr:clientData/>
  </xdr:twoCellAnchor>
  <xdr:twoCellAnchor editAs="oneCell">
    <xdr:from>
      <xdr:col>0</xdr:col>
      <xdr:colOff>219075</xdr:colOff>
      <xdr:row>280</xdr:row>
      <xdr:rowOff>104775</xdr:rowOff>
    </xdr:from>
    <xdr:to>
      <xdr:col>3</xdr:col>
      <xdr:colOff>915825</xdr:colOff>
      <xdr:row>295</xdr:row>
      <xdr:rowOff>127275</xdr:rowOff>
    </xdr:to>
    <xdr:pic>
      <xdr:nvPicPr>
        <xdr:cNvPr id="98" name="Imagem 97">
          <a:extLst>
            <a:ext uri="{FF2B5EF4-FFF2-40B4-BE49-F238E27FC236}">
              <a16:creationId xmlns:a16="http://schemas.microsoft.com/office/drawing/2014/main" id="{00000000-0008-0000-0300-000062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19075" y="55092600"/>
          <a:ext cx="3840000" cy="2880000"/>
        </a:xfrm>
        <a:prstGeom prst="rect">
          <a:avLst/>
        </a:prstGeom>
      </xdr:spPr>
    </xdr:pic>
    <xdr:clientData/>
  </xdr:twoCellAnchor>
  <xdr:twoCellAnchor editAs="oneCell">
    <xdr:from>
      <xdr:col>4</xdr:col>
      <xdr:colOff>142875</xdr:colOff>
      <xdr:row>280</xdr:row>
      <xdr:rowOff>104775</xdr:rowOff>
    </xdr:from>
    <xdr:to>
      <xdr:col>7</xdr:col>
      <xdr:colOff>839625</xdr:colOff>
      <xdr:row>295</xdr:row>
      <xdr:rowOff>127275</xdr:rowOff>
    </xdr:to>
    <xdr:pic>
      <xdr:nvPicPr>
        <xdr:cNvPr id="99" name="Imagem 98">
          <a:extLst>
            <a:ext uri="{FF2B5EF4-FFF2-40B4-BE49-F238E27FC236}">
              <a16:creationId xmlns:a16="http://schemas.microsoft.com/office/drawing/2014/main" id="{00000000-0008-0000-0300-000063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4333875" y="55092600"/>
          <a:ext cx="3840000" cy="2880000"/>
        </a:xfrm>
        <a:prstGeom prst="rect">
          <a:avLst/>
        </a:prstGeom>
      </xdr:spPr>
    </xdr:pic>
    <xdr:clientData/>
  </xdr:twoCellAnchor>
  <xdr:twoCellAnchor editAs="oneCell">
    <xdr:from>
      <xdr:col>4</xdr:col>
      <xdr:colOff>200025</xdr:colOff>
      <xdr:row>242</xdr:row>
      <xdr:rowOff>38100</xdr:rowOff>
    </xdr:from>
    <xdr:to>
      <xdr:col>7</xdr:col>
      <xdr:colOff>896775</xdr:colOff>
      <xdr:row>257</xdr:row>
      <xdr:rowOff>60600</xdr:rowOff>
    </xdr:to>
    <xdr:pic>
      <xdr:nvPicPr>
        <xdr:cNvPr id="100" name="Imagem 99">
          <a:extLst>
            <a:ext uri="{FF2B5EF4-FFF2-40B4-BE49-F238E27FC236}">
              <a16:creationId xmlns:a16="http://schemas.microsoft.com/office/drawing/2014/main" id="{00000000-0008-0000-0300-000064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4391025" y="47586900"/>
          <a:ext cx="3840000" cy="2880000"/>
        </a:xfrm>
        <a:prstGeom prst="rect">
          <a:avLst/>
        </a:prstGeom>
      </xdr:spPr>
    </xdr:pic>
    <xdr:clientData/>
  </xdr:twoCellAnchor>
  <xdr:twoCellAnchor editAs="oneCell">
    <xdr:from>
      <xdr:col>0</xdr:col>
      <xdr:colOff>209550</xdr:colOff>
      <xdr:row>297</xdr:row>
      <xdr:rowOff>57150</xdr:rowOff>
    </xdr:from>
    <xdr:to>
      <xdr:col>3</xdr:col>
      <xdr:colOff>906300</xdr:colOff>
      <xdr:row>312</xdr:row>
      <xdr:rowOff>79650</xdr:rowOff>
    </xdr:to>
    <xdr:pic>
      <xdr:nvPicPr>
        <xdr:cNvPr id="101" name="Imagem 100">
          <a:extLst>
            <a:ext uri="{FF2B5EF4-FFF2-40B4-BE49-F238E27FC236}">
              <a16:creationId xmlns:a16="http://schemas.microsoft.com/office/drawing/2014/main" id="{00000000-0008-0000-0300-000065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209550" y="58331100"/>
          <a:ext cx="3840000" cy="2880000"/>
        </a:xfrm>
        <a:prstGeom prst="rect">
          <a:avLst/>
        </a:prstGeom>
      </xdr:spPr>
    </xdr:pic>
    <xdr:clientData/>
  </xdr:twoCellAnchor>
  <xdr:twoCellAnchor editAs="oneCell">
    <xdr:from>
      <xdr:col>4</xdr:col>
      <xdr:colOff>219075</xdr:colOff>
      <xdr:row>297</xdr:row>
      <xdr:rowOff>57150</xdr:rowOff>
    </xdr:from>
    <xdr:to>
      <xdr:col>7</xdr:col>
      <xdr:colOff>915825</xdr:colOff>
      <xdr:row>312</xdr:row>
      <xdr:rowOff>79650</xdr:rowOff>
    </xdr:to>
    <xdr:pic>
      <xdr:nvPicPr>
        <xdr:cNvPr id="102" name="Imagem 101">
          <a:extLst>
            <a:ext uri="{FF2B5EF4-FFF2-40B4-BE49-F238E27FC236}">
              <a16:creationId xmlns:a16="http://schemas.microsoft.com/office/drawing/2014/main" id="{00000000-0008-0000-0300-000066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4410075" y="58331100"/>
          <a:ext cx="3840000" cy="2880000"/>
        </a:xfrm>
        <a:prstGeom prst="rect">
          <a:avLst/>
        </a:prstGeom>
      </xdr:spPr>
    </xdr:pic>
    <xdr:clientData/>
  </xdr:twoCellAnchor>
  <mc:AlternateContent xmlns:mc="http://schemas.openxmlformats.org/markup-compatibility/2006">
    <mc:Choice xmlns:a14="http://schemas.microsoft.com/office/drawing/2010/main" Requires="a14">
      <xdr:twoCellAnchor>
        <xdr:from>
          <xdr:col>0</xdr:col>
          <xdr:colOff>83820</xdr:colOff>
          <xdr:row>220</xdr:row>
          <xdr:rowOff>114300</xdr:rowOff>
        </xdr:from>
        <xdr:to>
          <xdr:col>1</xdr:col>
          <xdr:colOff>998220</xdr:colOff>
          <xdr:row>222</xdr:row>
          <xdr:rowOff>121920</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83820</xdr:colOff>
          <xdr:row>165</xdr:row>
          <xdr:rowOff>114300</xdr:rowOff>
        </xdr:from>
        <xdr:to>
          <xdr:col>1</xdr:col>
          <xdr:colOff>998220</xdr:colOff>
          <xdr:row>167</xdr:row>
          <xdr:rowOff>121920</xdr:rowOff>
        </xdr:to>
        <xdr:sp macro="" textlink="">
          <xdr:nvSpPr>
            <xdr:cNvPr id="9219" name="Object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83820</xdr:colOff>
          <xdr:row>110</xdr:row>
          <xdr:rowOff>114300</xdr:rowOff>
        </xdr:from>
        <xdr:to>
          <xdr:col>1</xdr:col>
          <xdr:colOff>998220</xdr:colOff>
          <xdr:row>112</xdr:row>
          <xdr:rowOff>121920</xdr:rowOff>
        </xdr:to>
        <xdr:sp macro="" textlink="">
          <xdr:nvSpPr>
            <xdr:cNvPr id="9220" name="Object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83820</xdr:colOff>
          <xdr:row>55</xdr:row>
          <xdr:rowOff>114300</xdr:rowOff>
        </xdr:from>
        <xdr:to>
          <xdr:col>1</xdr:col>
          <xdr:colOff>998220</xdr:colOff>
          <xdr:row>57</xdr:row>
          <xdr:rowOff>121920</xdr:rowOff>
        </xdr:to>
        <xdr:sp macro="" textlink="">
          <xdr:nvSpPr>
            <xdr:cNvPr id="9221" name="Object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83820</xdr:colOff>
          <xdr:row>0</xdr:row>
          <xdr:rowOff>114300</xdr:rowOff>
        </xdr:from>
        <xdr:to>
          <xdr:col>1</xdr:col>
          <xdr:colOff>998220</xdr:colOff>
          <xdr:row>2</xdr:row>
          <xdr:rowOff>68580</xdr:rowOff>
        </xdr:to>
        <xdr:sp macro="" textlink="">
          <xdr:nvSpPr>
            <xdr:cNvPr id="9222" name="Object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246380</xdr:colOff>
      <xdr:row>0</xdr:row>
      <xdr:rowOff>137159</xdr:rowOff>
    </xdr:from>
    <xdr:to>
      <xdr:col>1</xdr:col>
      <xdr:colOff>965200</xdr:colOff>
      <xdr:row>2</xdr:row>
      <xdr:rowOff>123028</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380" y="137159"/>
          <a:ext cx="1176020" cy="341469"/>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23</xdr:col>
      <xdr:colOff>258184</xdr:colOff>
      <xdr:row>0</xdr:row>
      <xdr:rowOff>158527</xdr:rowOff>
    </xdr:from>
    <xdr:to>
      <xdr:col>23</xdr:col>
      <xdr:colOff>1317364</xdr:colOff>
      <xdr:row>2</xdr:row>
      <xdr:rowOff>57321</xdr:rowOff>
    </xdr:to>
    <xdr:pic>
      <xdr:nvPicPr>
        <xdr:cNvPr id="3" name="Imagem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7176" b="39766"/>
        <a:stretch/>
      </xdr:blipFill>
      <xdr:spPr>
        <a:xfrm>
          <a:off x="13361596" y="158527"/>
          <a:ext cx="1059180" cy="252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30480</xdr:colOff>
      <xdr:row>0</xdr:row>
      <xdr:rowOff>45720</xdr:rowOff>
    </xdr:from>
    <xdr:to>
      <xdr:col>1</xdr:col>
      <xdr:colOff>327660</xdr:colOff>
      <xdr:row>0</xdr:row>
      <xdr:rowOff>281940</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 y="45720"/>
          <a:ext cx="899160" cy="12192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13</xdr:col>
      <xdr:colOff>1139688</xdr:colOff>
      <xdr:row>0</xdr:row>
      <xdr:rowOff>33130</xdr:rowOff>
    </xdr:from>
    <xdr:to>
      <xdr:col>13</xdr:col>
      <xdr:colOff>2198868</xdr:colOff>
      <xdr:row>0</xdr:row>
      <xdr:rowOff>277364</xdr:rowOff>
    </xdr:to>
    <xdr:pic>
      <xdr:nvPicPr>
        <xdr:cNvPr id="3" name="Imagem 2">
          <a:extLst>
            <a:ext uri="{FF2B5EF4-FFF2-40B4-BE49-F238E27FC236}">
              <a16:creationId xmlns:a16="http://schemas.microsoft.com/office/drawing/2014/main" id="{00000000-0008-0000-06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37176" b="39766"/>
        <a:stretch/>
      </xdr:blipFill>
      <xdr:spPr>
        <a:xfrm>
          <a:off x="12357653" y="33130"/>
          <a:ext cx="1059180" cy="2442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16</xdr:col>
      <xdr:colOff>64944</xdr:colOff>
      <xdr:row>0</xdr:row>
      <xdr:rowOff>0</xdr:rowOff>
    </xdr:from>
    <xdr:ext cx="9223375" cy="405432"/>
    <xdr:sp macro="" textlink="">
      <xdr:nvSpPr>
        <xdr:cNvPr id="2" name="Retângulo 1">
          <a:extLst>
            <a:ext uri="{FF2B5EF4-FFF2-40B4-BE49-F238E27FC236}">
              <a16:creationId xmlns:a16="http://schemas.microsoft.com/office/drawing/2014/main" id="{00000000-0008-0000-0700-000002000000}"/>
            </a:ext>
          </a:extLst>
        </xdr:cNvPr>
        <xdr:cNvSpPr/>
      </xdr:nvSpPr>
      <xdr:spPr>
        <a:xfrm>
          <a:off x="11442989" y="0"/>
          <a:ext cx="9223375" cy="405432"/>
        </a:xfrm>
        <a:prstGeom prst="rect">
          <a:avLst/>
        </a:prstGeom>
        <a:noFill/>
      </xdr:spPr>
      <xdr:txBody>
        <a:bodyPr wrap="square" lIns="91440" tIns="45720" rIns="91440" bIns="45720">
          <a:spAutoFit/>
        </a:bodyPr>
        <a:lstStyle/>
        <a:p>
          <a:pPr algn="l"/>
          <a:r>
            <a:rPr lang="pt-BR" sz="2000" b="0" cap="none" spc="0">
              <a:ln w="0"/>
              <a:solidFill>
                <a:schemeClr val="tx1"/>
              </a:solidFill>
              <a:effectLst>
                <a:outerShdw blurRad="38100" dist="19050" dir="2700000" algn="tl" rotWithShape="0">
                  <a:schemeClr val="dk1">
                    <a:alpha val="40000"/>
                  </a:schemeClr>
                </a:outerShdw>
              </a:effectLst>
            </a:rPr>
            <a:t>Timeline</a:t>
          </a:r>
          <a:r>
            <a:rPr lang="pt-BR" sz="2000" b="0" cap="none" spc="0" baseline="0">
              <a:ln w="0"/>
              <a:solidFill>
                <a:schemeClr val="tx1"/>
              </a:solidFill>
              <a:effectLst>
                <a:outerShdw blurRad="38100" dist="19050" dir="2700000" algn="tl" rotWithShape="0">
                  <a:schemeClr val="dk1">
                    <a:alpha val="40000"/>
                  </a:schemeClr>
                </a:outerShdw>
              </a:effectLst>
            </a:rPr>
            <a:t> Projeto Cafor</a:t>
          </a:r>
          <a:endParaRPr lang="pt-BR" sz="2000" b="0" cap="none" spc="0">
            <a:ln w="0"/>
            <a:solidFill>
              <a:schemeClr val="tx1"/>
            </a:solidFill>
            <a:effectLst>
              <a:outerShdw blurRad="38100" dist="19050" dir="2700000" algn="tl" rotWithShape="0">
                <a:schemeClr val="dk1">
                  <a:alpha val="40000"/>
                </a:schemeClr>
              </a:outerShdw>
            </a:effectLst>
            <a:latin typeface="+mn-lt"/>
            <a:ea typeface="+mn-ea"/>
            <a:cs typeface="+mn-cs"/>
          </a:endParaRPr>
        </a:p>
      </xdr:txBody>
    </xdr:sp>
    <xdr:clientData/>
  </xdr:oneCellAnchor>
  <xdr:twoCellAnchor>
    <xdr:from>
      <xdr:col>0</xdr:col>
      <xdr:colOff>485775</xdr:colOff>
      <xdr:row>1</xdr:row>
      <xdr:rowOff>9525</xdr:rowOff>
    </xdr:from>
    <xdr:to>
      <xdr:col>1</xdr:col>
      <xdr:colOff>2686050</xdr:colOff>
      <xdr:row>2</xdr:row>
      <xdr:rowOff>161925</xdr:rowOff>
    </xdr:to>
    <xdr:sp macro="" textlink="">
      <xdr:nvSpPr>
        <xdr:cNvPr id="3" name="Object 1" hidden="1">
          <a:extLst>
            <a:ext uri="{63B3BB69-23CF-44E3-9099-C40C66FF867C}">
              <a14:compatExt xmlns:a14="http://schemas.microsoft.com/office/drawing/2010/main" spid="_x0000_s158721"/>
            </a:ext>
            <a:ext uri="{FF2B5EF4-FFF2-40B4-BE49-F238E27FC236}">
              <a16:creationId xmlns:a16="http://schemas.microsoft.com/office/drawing/2014/main" id="{00000000-0008-0000-0700-000003000000}"/>
            </a:ext>
          </a:extLst>
        </xdr:cNvPr>
        <xdr:cNvSpPr/>
      </xdr:nvSpPr>
      <xdr:spPr bwMode="auto">
        <a:xfrm>
          <a:off x="485775" y="200025"/>
          <a:ext cx="2809875" cy="666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179</xdr:col>
      <xdr:colOff>219075</xdr:colOff>
      <xdr:row>2</xdr:row>
      <xdr:rowOff>219075</xdr:rowOff>
    </xdr:from>
    <xdr:to>
      <xdr:col>180</xdr:col>
      <xdr:colOff>981075</xdr:colOff>
      <xdr:row>3</xdr:row>
      <xdr:rowOff>180975</xdr:rowOff>
    </xdr:to>
    <xdr:sp macro="" textlink="">
      <xdr:nvSpPr>
        <xdr:cNvPr id="4" name="Object 2" hidden="1">
          <a:extLst>
            <a:ext uri="{63B3BB69-23CF-44E3-9099-C40C66FF867C}">
              <a14:compatExt xmlns:a14="http://schemas.microsoft.com/office/drawing/2010/main" spid="_x0000_s158722"/>
            </a:ext>
            <a:ext uri="{FF2B5EF4-FFF2-40B4-BE49-F238E27FC236}">
              <a16:creationId xmlns:a16="http://schemas.microsoft.com/office/drawing/2014/main" id="{00000000-0008-0000-0700-000004000000}"/>
            </a:ext>
          </a:extLst>
        </xdr:cNvPr>
        <xdr:cNvSpPr/>
      </xdr:nvSpPr>
      <xdr:spPr bwMode="auto">
        <a:xfrm>
          <a:off x="48186975" y="923925"/>
          <a:ext cx="1657350" cy="3714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34826</xdr:colOff>
      <xdr:row>78</xdr:row>
      <xdr:rowOff>158750</xdr:rowOff>
    </xdr:from>
    <xdr:to>
      <xdr:col>35</xdr:col>
      <xdr:colOff>476251</xdr:colOff>
      <xdr:row>106</xdr:row>
      <xdr:rowOff>15875</xdr:rowOff>
    </xdr:to>
    <xdr:grpSp>
      <xdr:nvGrpSpPr>
        <xdr:cNvPr id="5" name="Agrupar 4">
          <a:extLst>
            <a:ext uri="{FF2B5EF4-FFF2-40B4-BE49-F238E27FC236}">
              <a16:creationId xmlns:a16="http://schemas.microsoft.com/office/drawing/2014/main" id="{00000000-0008-0000-0700-000005000000}"/>
            </a:ext>
          </a:extLst>
        </xdr:cNvPr>
        <xdr:cNvGrpSpPr/>
      </xdr:nvGrpSpPr>
      <xdr:grpSpPr>
        <a:xfrm>
          <a:off x="9940826" y="7931150"/>
          <a:ext cx="13506261" cy="5163416"/>
          <a:chOff x="13739485" y="17240250"/>
          <a:chExt cx="16789590" cy="6381750"/>
        </a:xfrm>
      </xdr:grpSpPr>
      <xdr:pic>
        <xdr:nvPicPr>
          <xdr:cNvPr id="9" name="Picture 4">
            <a:extLst>
              <a:ext uri="{FF2B5EF4-FFF2-40B4-BE49-F238E27FC236}">
                <a16:creationId xmlns:a16="http://schemas.microsoft.com/office/drawing/2014/main" id="{00000000-0008-0000-0700-000009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b="11094"/>
          <a:stretch/>
        </xdr:blipFill>
        <xdr:spPr>
          <a:xfrm>
            <a:off x="13739485" y="17240250"/>
            <a:ext cx="16789590" cy="6381750"/>
          </a:xfrm>
          <a:prstGeom prst="rect">
            <a:avLst/>
          </a:prstGeom>
          <a:solidFill>
            <a:schemeClr val="bg1"/>
          </a:solidFill>
        </xdr:spPr>
      </xdr:pic>
      <xdr:sp macro="" textlink="">
        <xdr:nvSpPr>
          <xdr:cNvPr id="7" name="Object 3" hidden="1">
            <a:extLst>
              <a:ext uri="{63B3BB69-23CF-44E3-9099-C40C66FF867C}">
                <a14:compatExt xmlns:a14="http://schemas.microsoft.com/office/drawing/2010/main" spid="_x0000_s158723"/>
              </a:ext>
              <a:ext uri="{FF2B5EF4-FFF2-40B4-BE49-F238E27FC236}">
                <a16:creationId xmlns:a16="http://schemas.microsoft.com/office/drawing/2014/main" id="{00000000-0008-0000-0700-000007000000}"/>
              </a:ext>
            </a:extLst>
          </xdr:cNvPr>
          <xdr:cNvSpPr/>
        </xdr:nvSpPr>
        <xdr:spPr bwMode="auto">
          <a:xfrm>
            <a:off x="13865226" y="17415729"/>
            <a:ext cx="1585366" cy="381000"/>
          </a:xfrm>
          <a:prstGeom prst="rect">
            <a:avLst/>
          </a:prstGeom>
          <a:noFill/>
          <a:extLst>
            <a:ext uri="{909E8E84-426E-40DD-AFC4-6F175D3DCCD1}">
              <a14:hiddenFill xmlns:a14="http://schemas.microsoft.com/office/drawing/2010/main">
                <a:solidFill>
                  <a:srgbClr val="FFFFFF"/>
                </a:solidFill>
              </a14:hiddenFill>
            </a:ext>
          </a:extLst>
        </xdr:spPr>
      </xdr:sp>
      <xdr:sp macro="" textlink="">
        <xdr:nvSpPr>
          <xdr:cNvPr id="8" name="Retângulo 7">
            <a:extLst>
              <a:ext uri="{FF2B5EF4-FFF2-40B4-BE49-F238E27FC236}">
                <a16:creationId xmlns:a16="http://schemas.microsoft.com/office/drawing/2014/main" id="{00000000-0008-0000-0700-000008000000}"/>
              </a:ext>
            </a:extLst>
          </xdr:cNvPr>
          <xdr:cNvSpPr/>
        </xdr:nvSpPr>
        <xdr:spPr>
          <a:xfrm>
            <a:off x="19030200" y="17491709"/>
            <a:ext cx="6798580" cy="775356"/>
          </a:xfrm>
          <a:prstGeom prst="rect">
            <a:avLst/>
          </a:prstGeom>
          <a:noFill/>
        </xdr:spPr>
        <xdr:txBody>
          <a:bodyPr wrap="none" lIns="91440" tIns="45720" rIns="91440" bIns="45720">
            <a:spAutoFit/>
          </a:bodyPr>
          <a:lstStyle/>
          <a:p>
            <a:pPr algn="ctr"/>
            <a:r>
              <a:rPr lang="pt-BR" sz="1800" b="0" cap="none" spc="0" baseline="0">
                <a:ln w="0"/>
                <a:solidFill>
                  <a:srgbClr val="002060"/>
                </a:solidFill>
                <a:effectLst>
                  <a:outerShdw blurRad="38100" dist="19050" dir="2700000" algn="tl" rotWithShape="0">
                    <a:schemeClr val="dk1">
                      <a:alpha val="40000"/>
                    </a:schemeClr>
                  </a:outerShdw>
                </a:effectLst>
                <a:latin typeface="+mn-lt"/>
                <a:ea typeface="+mn-ea"/>
                <a:cs typeface="+mn-cs"/>
              </a:rPr>
              <a:t>CURVA DE AVANÇO</a:t>
            </a:r>
          </a:p>
          <a:p>
            <a:pPr algn="ctr"/>
            <a:r>
              <a:rPr lang="pt-BR" sz="1800" b="0" cap="none" spc="0" baseline="0">
                <a:ln w="0"/>
                <a:solidFill>
                  <a:srgbClr val="002060"/>
                </a:solidFill>
                <a:effectLst>
                  <a:outerShdw blurRad="38100" dist="19050" dir="2700000" algn="tl" rotWithShape="0">
                    <a:schemeClr val="dk1">
                      <a:alpha val="40000"/>
                    </a:schemeClr>
                  </a:outerShdw>
                </a:effectLst>
                <a:latin typeface="+mn-lt"/>
                <a:ea typeface="+mn-ea"/>
                <a:cs typeface="+mn-cs"/>
              </a:rPr>
              <a:t>REVITALIZAÇÃO ENERGETICA CAFOR U-51/U-83/U-17D</a:t>
            </a:r>
          </a:p>
        </xdr:txBody>
      </xdr:sp>
    </xdr:grpSp>
    <xdr:clientData/>
  </xdr:twoCellAnchor>
  <xdr:twoCellAnchor>
    <xdr:from>
      <xdr:col>13</xdr:col>
      <xdr:colOff>54843</xdr:colOff>
      <xdr:row>110</xdr:row>
      <xdr:rowOff>23812</xdr:rowOff>
    </xdr:from>
    <xdr:to>
      <xdr:col>35</xdr:col>
      <xdr:colOff>500062</xdr:colOff>
      <xdr:row>138</xdr:row>
      <xdr:rowOff>95249</xdr:rowOff>
    </xdr:to>
    <xdr:grpSp>
      <xdr:nvGrpSpPr>
        <xdr:cNvPr id="11" name="Agrupar 10">
          <a:extLst>
            <a:ext uri="{FF2B5EF4-FFF2-40B4-BE49-F238E27FC236}">
              <a16:creationId xmlns:a16="http://schemas.microsoft.com/office/drawing/2014/main" id="{00000000-0008-0000-0700-00000B000000}"/>
            </a:ext>
          </a:extLst>
        </xdr:cNvPr>
        <xdr:cNvGrpSpPr/>
      </xdr:nvGrpSpPr>
      <xdr:grpSpPr>
        <a:xfrm>
          <a:off x="9960843" y="13822939"/>
          <a:ext cx="13510055" cy="5114492"/>
          <a:chOff x="7762876" y="46073785"/>
          <a:chExt cx="16818427" cy="6334125"/>
        </a:xfrm>
        <a:noFill/>
      </xdr:grpSpPr>
      <xdr:grpSp>
        <xdr:nvGrpSpPr>
          <xdr:cNvPr id="12" name="Agrupar 11">
            <a:extLst>
              <a:ext uri="{FF2B5EF4-FFF2-40B4-BE49-F238E27FC236}">
                <a16:creationId xmlns:a16="http://schemas.microsoft.com/office/drawing/2014/main" id="{00000000-0008-0000-0700-00000C000000}"/>
              </a:ext>
            </a:extLst>
          </xdr:cNvPr>
          <xdr:cNvGrpSpPr/>
        </xdr:nvGrpSpPr>
        <xdr:grpSpPr>
          <a:xfrm>
            <a:off x="7762876" y="46073785"/>
            <a:ext cx="16818427" cy="6334125"/>
            <a:chOff x="13700126" y="23939499"/>
            <a:chExt cx="16827499" cy="6334125"/>
          </a:xfrm>
          <a:grpFill/>
        </xdr:grpSpPr>
        <xdr:pic>
          <xdr:nvPicPr>
            <xdr:cNvPr id="14" name="Picture 4">
              <a:extLst>
                <a:ext uri="{FF2B5EF4-FFF2-40B4-BE49-F238E27FC236}">
                  <a16:creationId xmlns:a16="http://schemas.microsoft.com/office/drawing/2014/main" id="{00000000-0008-0000-0700-00000E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b="11094"/>
            <a:stretch/>
          </xdr:blipFill>
          <xdr:spPr>
            <a:xfrm>
              <a:off x="13700126" y="23939499"/>
              <a:ext cx="16827499" cy="6334125"/>
            </a:xfrm>
            <a:prstGeom prst="rect">
              <a:avLst/>
            </a:prstGeom>
            <a:grpFill/>
          </xdr:spPr>
        </xdr:pic>
        <xdr:sp macro="" textlink="">
          <xdr:nvSpPr>
            <xdr:cNvPr id="15" name="Object 4" hidden="1">
              <a:extLst>
                <a:ext uri="{63B3BB69-23CF-44E3-9099-C40C66FF867C}">
                  <a14:compatExt xmlns:a14="http://schemas.microsoft.com/office/drawing/2010/main" spid="_x0000_s158724"/>
                </a:ext>
                <a:ext uri="{FF2B5EF4-FFF2-40B4-BE49-F238E27FC236}">
                  <a16:creationId xmlns:a16="http://schemas.microsoft.com/office/drawing/2014/main" id="{00000000-0008-0000-0700-00000F000000}"/>
                </a:ext>
              </a:extLst>
            </xdr:cNvPr>
            <xdr:cNvSpPr/>
          </xdr:nvSpPr>
          <xdr:spPr bwMode="auto">
            <a:xfrm>
              <a:off x="13874750" y="24101425"/>
              <a:ext cx="1393824" cy="381000"/>
            </a:xfrm>
            <a:prstGeom prst="rect">
              <a:avLst/>
            </a:prstGeom>
            <a:noFill/>
            <a:extLst>
              <a:ext uri="{909E8E84-426E-40DD-AFC4-6F175D3DCCD1}">
                <a14:hiddenFill xmlns:a14="http://schemas.microsoft.com/office/drawing/2010/main">
                  <a:solidFill>
                    <a:srgbClr val="FFFFFF"/>
                  </a:solidFill>
                </a14:hiddenFill>
              </a:ext>
            </a:extLst>
          </xdr:spPr>
        </xdr:sp>
        <xdr:sp macro="" textlink="">
          <xdr:nvSpPr>
            <xdr:cNvPr id="16" name="Retângulo 15">
              <a:extLst>
                <a:ext uri="{FF2B5EF4-FFF2-40B4-BE49-F238E27FC236}">
                  <a16:creationId xmlns:a16="http://schemas.microsoft.com/office/drawing/2014/main" id="{00000000-0008-0000-0700-000010000000}"/>
                </a:ext>
              </a:extLst>
            </xdr:cNvPr>
            <xdr:cNvSpPr/>
          </xdr:nvSpPr>
          <xdr:spPr>
            <a:xfrm>
              <a:off x="18956811" y="24383554"/>
              <a:ext cx="6809725" cy="1098870"/>
            </a:xfrm>
            <a:prstGeom prst="rect">
              <a:avLst/>
            </a:prstGeom>
            <a:grpFill/>
          </xdr:spPr>
          <xdr:txBody>
            <a:bodyPr wrap="non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pt-BR" sz="1800" b="0" cap="none" spc="0">
                  <a:ln w="0"/>
                  <a:solidFill>
                    <a:srgbClr val="002060"/>
                  </a:solidFill>
                  <a:effectLst>
                    <a:outerShdw blurRad="38100" dist="19050" dir="2700000" algn="tl" rotWithShape="0">
                      <a:schemeClr val="dk1">
                        <a:alpha val="40000"/>
                      </a:schemeClr>
                    </a:outerShdw>
                  </a:effectLst>
                  <a:latin typeface="+mn-lt"/>
                  <a:ea typeface="+mn-ea"/>
                  <a:cs typeface="+mn-cs"/>
                </a:rPr>
                <a:t>HISTOGRAMA</a:t>
              </a:r>
            </a:p>
            <a:p>
              <a:pPr marL="0" marR="0" lvl="0" indent="0" algn="ctr" defTabSz="914400" eaLnBrk="1" fontAlgn="auto" latinLnBrk="0" hangingPunct="1">
                <a:lnSpc>
                  <a:spcPct val="100000"/>
                </a:lnSpc>
                <a:spcBef>
                  <a:spcPts val="0"/>
                </a:spcBef>
                <a:spcAft>
                  <a:spcPts val="0"/>
                </a:spcAft>
                <a:buClrTx/>
                <a:buSzTx/>
                <a:buFontTx/>
                <a:buNone/>
                <a:tabLst/>
                <a:defRPr/>
              </a:pPr>
              <a:r>
                <a:rPr lang="pt-BR" sz="1800" b="0" cap="none" spc="0">
                  <a:ln w="0"/>
                  <a:solidFill>
                    <a:srgbClr val="002060"/>
                  </a:solidFill>
                  <a:effectLst>
                    <a:outerShdw blurRad="38100" dist="19050" dir="2700000" algn="tl" rotWithShape="0">
                      <a:schemeClr val="dk1">
                        <a:alpha val="40000"/>
                      </a:schemeClr>
                    </a:outerShdw>
                  </a:effectLst>
                  <a:latin typeface="+mn-lt"/>
                  <a:ea typeface="+mn-ea"/>
                  <a:cs typeface="+mn-cs"/>
                </a:rPr>
                <a:t>REVITALIZAÇÃO ENERGETICA CAFOR U-51/U-83/U-17D</a:t>
              </a:r>
            </a:p>
            <a:p>
              <a:pPr algn="ctr"/>
              <a:endParaRPr lang="pt-BR" sz="1800" b="0" cap="none" spc="0" baseline="0">
                <a:ln w="0"/>
                <a:solidFill>
                  <a:srgbClr val="002060"/>
                </a:solidFill>
                <a:effectLst>
                  <a:outerShdw blurRad="38100" dist="19050" dir="2700000" algn="tl" rotWithShape="0">
                    <a:schemeClr val="dk1">
                      <a:alpha val="40000"/>
                    </a:schemeClr>
                  </a:outerShdw>
                </a:effectLst>
                <a:latin typeface="+mn-lt"/>
                <a:ea typeface="+mn-ea"/>
                <a:cs typeface="+mn-cs"/>
              </a:endParaRPr>
            </a:p>
          </xdr:txBody>
        </xdr:sp>
      </xdr:grpSp>
      <xdr:graphicFrame macro="">
        <xdr:nvGraphicFramePr>
          <xdr:cNvPr id="13" name="Gráfico 12">
            <a:extLst>
              <a:ext uri="{FF2B5EF4-FFF2-40B4-BE49-F238E27FC236}">
                <a16:creationId xmlns:a16="http://schemas.microsoft.com/office/drawing/2014/main" id="{00000000-0008-0000-0700-00000D000000}"/>
              </a:ext>
            </a:extLst>
          </xdr:cNvPr>
          <xdr:cNvGraphicFramePr>
            <a:graphicFrameLocks/>
          </xdr:cNvGraphicFramePr>
        </xdr:nvGraphicFramePr>
        <xdr:xfrm>
          <a:off x="7858125" y="47331174"/>
          <a:ext cx="16637000" cy="4849951"/>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oneCellAnchor>
    <xdr:from>
      <xdr:col>179</xdr:col>
      <xdr:colOff>571501</xdr:colOff>
      <xdr:row>48</xdr:row>
      <xdr:rowOff>79375</xdr:rowOff>
    </xdr:from>
    <xdr:ext cx="2317749" cy="460375"/>
    <xdr:sp macro="" textlink="">
      <xdr:nvSpPr>
        <xdr:cNvPr id="17" name="CaixaDeTexto 16">
          <a:extLst>
            <a:ext uri="{FF2B5EF4-FFF2-40B4-BE49-F238E27FC236}">
              <a16:creationId xmlns:a16="http://schemas.microsoft.com/office/drawing/2014/main" id="{00000000-0008-0000-0700-000011000000}"/>
            </a:ext>
          </a:extLst>
        </xdr:cNvPr>
        <xdr:cNvSpPr txBox="1"/>
      </xdr:nvSpPr>
      <xdr:spPr>
        <a:xfrm>
          <a:off x="48539401" y="7880350"/>
          <a:ext cx="2317749" cy="460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endParaRPr lang="pt-BR" sz="1400" b="0"/>
        </a:p>
      </xdr:txBody>
    </xdr:sp>
    <xdr:clientData/>
  </xdr:oneCellAnchor>
  <xdr:oneCellAnchor>
    <xdr:from>
      <xdr:col>181</xdr:col>
      <xdr:colOff>1460500</xdr:colOff>
      <xdr:row>48</xdr:row>
      <xdr:rowOff>63500</xdr:rowOff>
    </xdr:from>
    <xdr:ext cx="2857500" cy="476250"/>
    <xdr:sp macro="" textlink="">
      <xdr:nvSpPr>
        <xdr:cNvPr id="18" name="CaixaDeTexto 17">
          <a:extLst>
            <a:ext uri="{FF2B5EF4-FFF2-40B4-BE49-F238E27FC236}">
              <a16:creationId xmlns:a16="http://schemas.microsoft.com/office/drawing/2014/main" id="{00000000-0008-0000-0700-000012000000}"/>
            </a:ext>
          </a:extLst>
        </xdr:cNvPr>
        <xdr:cNvSpPr txBox="1"/>
      </xdr:nvSpPr>
      <xdr:spPr>
        <a:xfrm>
          <a:off x="53428900" y="7864475"/>
          <a:ext cx="28575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endParaRPr lang="pt-BR" sz="1400" b="0"/>
        </a:p>
      </xdr:txBody>
    </xdr:sp>
    <xdr:clientData/>
  </xdr:oneCellAnchor>
  <xdr:oneCellAnchor>
    <xdr:from>
      <xdr:col>185</xdr:col>
      <xdr:colOff>254000</xdr:colOff>
      <xdr:row>48</xdr:row>
      <xdr:rowOff>126999</xdr:rowOff>
    </xdr:from>
    <xdr:ext cx="2952750" cy="349251"/>
    <xdr:sp macro="" textlink="">
      <xdr:nvSpPr>
        <xdr:cNvPr id="19" name="CaixaDeTexto 18">
          <a:extLst>
            <a:ext uri="{FF2B5EF4-FFF2-40B4-BE49-F238E27FC236}">
              <a16:creationId xmlns:a16="http://schemas.microsoft.com/office/drawing/2014/main" id="{00000000-0008-0000-0700-000013000000}"/>
            </a:ext>
          </a:extLst>
        </xdr:cNvPr>
        <xdr:cNvSpPr txBox="1"/>
      </xdr:nvSpPr>
      <xdr:spPr>
        <a:xfrm>
          <a:off x="57985025" y="7927974"/>
          <a:ext cx="2952750" cy="34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endParaRPr lang="pt-BR" sz="1400" b="0"/>
        </a:p>
      </xdr:txBody>
    </xdr:sp>
    <xdr:clientData/>
  </xdr:oneCellAnchor>
  <xdr:twoCellAnchor editAs="oneCell">
    <xdr:from>
      <xdr:col>186</xdr:col>
      <xdr:colOff>523875</xdr:colOff>
      <xdr:row>2</xdr:row>
      <xdr:rowOff>222250</xdr:rowOff>
    </xdr:from>
    <xdr:to>
      <xdr:col>187</xdr:col>
      <xdr:colOff>1323590</xdr:colOff>
      <xdr:row>41</xdr:row>
      <xdr:rowOff>368012</xdr:rowOff>
    </xdr:to>
    <xdr:pic>
      <xdr:nvPicPr>
        <xdr:cNvPr id="20" name="Imagem 19">
          <a:extLst>
            <a:ext uri="{FF2B5EF4-FFF2-40B4-BE49-F238E27FC236}">
              <a16:creationId xmlns:a16="http://schemas.microsoft.com/office/drawing/2014/main" id="{00000000-0008-0000-0700-00001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264550" y="927100"/>
          <a:ext cx="1523615" cy="361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179</xdr:col>
      <xdr:colOff>571501</xdr:colOff>
      <xdr:row>50</xdr:row>
      <xdr:rowOff>79375</xdr:rowOff>
    </xdr:from>
    <xdr:ext cx="2317749" cy="460375"/>
    <xdr:sp macro="" textlink="">
      <xdr:nvSpPr>
        <xdr:cNvPr id="21" name="CaixaDeTexto 20">
          <a:extLst>
            <a:ext uri="{FF2B5EF4-FFF2-40B4-BE49-F238E27FC236}">
              <a16:creationId xmlns:a16="http://schemas.microsoft.com/office/drawing/2014/main" id="{00000000-0008-0000-0700-000015000000}"/>
            </a:ext>
          </a:extLst>
        </xdr:cNvPr>
        <xdr:cNvSpPr txBox="1"/>
      </xdr:nvSpPr>
      <xdr:spPr>
        <a:xfrm>
          <a:off x="48539401" y="8270875"/>
          <a:ext cx="2317749" cy="460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endParaRPr lang="pt-BR" sz="1400" b="0"/>
        </a:p>
      </xdr:txBody>
    </xdr:sp>
    <xdr:clientData/>
  </xdr:oneCellAnchor>
  <xdr:oneCellAnchor>
    <xdr:from>
      <xdr:col>181</xdr:col>
      <xdr:colOff>1460500</xdr:colOff>
      <xdr:row>50</xdr:row>
      <xdr:rowOff>63500</xdr:rowOff>
    </xdr:from>
    <xdr:ext cx="2857500" cy="476250"/>
    <xdr:sp macro="" textlink="">
      <xdr:nvSpPr>
        <xdr:cNvPr id="22" name="CaixaDeTexto 21">
          <a:extLst>
            <a:ext uri="{FF2B5EF4-FFF2-40B4-BE49-F238E27FC236}">
              <a16:creationId xmlns:a16="http://schemas.microsoft.com/office/drawing/2014/main" id="{00000000-0008-0000-0700-000016000000}"/>
            </a:ext>
          </a:extLst>
        </xdr:cNvPr>
        <xdr:cNvSpPr txBox="1"/>
      </xdr:nvSpPr>
      <xdr:spPr>
        <a:xfrm>
          <a:off x="53428900" y="8255000"/>
          <a:ext cx="28575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endParaRPr lang="pt-BR" sz="1400" b="0"/>
        </a:p>
      </xdr:txBody>
    </xdr:sp>
    <xdr:clientData/>
  </xdr:oneCellAnchor>
  <xdr:oneCellAnchor>
    <xdr:from>
      <xdr:col>185</xdr:col>
      <xdr:colOff>254000</xdr:colOff>
      <xdr:row>50</xdr:row>
      <xdr:rowOff>126999</xdr:rowOff>
    </xdr:from>
    <xdr:ext cx="2952750" cy="349251"/>
    <xdr:sp macro="" textlink="">
      <xdr:nvSpPr>
        <xdr:cNvPr id="23" name="CaixaDeTexto 22">
          <a:extLst>
            <a:ext uri="{FF2B5EF4-FFF2-40B4-BE49-F238E27FC236}">
              <a16:creationId xmlns:a16="http://schemas.microsoft.com/office/drawing/2014/main" id="{00000000-0008-0000-0700-000017000000}"/>
            </a:ext>
          </a:extLst>
        </xdr:cNvPr>
        <xdr:cNvSpPr txBox="1"/>
      </xdr:nvSpPr>
      <xdr:spPr>
        <a:xfrm>
          <a:off x="57985025" y="8318499"/>
          <a:ext cx="2952750" cy="34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endParaRPr lang="pt-BR" sz="1400" b="0"/>
        </a:p>
      </xdr:txBody>
    </xdr:sp>
    <xdr:clientData/>
  </xdr:oneCellAnchor>
  <xdr:twoCellAnchor>
    <xdr:from>
      <xdr:col>181</xdr:col>
      <xdr:colOff>1079500</xdr:colOff>
      <xdr:row>51</xdr:row>
      <xdr:rowOff>301626</xdr:rowOff>
    </xdr:from>
    <xdr:to>
      <xdr:col>184</xdr:col>
      <xdr:colOff>0</xdr:colOff>
      <xdr:row>52</xdr:row>
      <xdr:rowOff>0</xdr:rowOff>
    </xdr:to>
    <xdr:cxnSp macro="">
      <xdr:nvCxnSpPr>
        <xdr:cNvPr id="24" name="Conector reto 23">
          <a:extLst>
            <a:ext uri="{FF2B5EF4-FFF2-40B4-BE49-F238E27FC236}">
              <a16:creationId xmlns:a16="http://schemas.microsoft.com/office/drawing/2014/main" id="{00000000-0008-0000-0700-000018000000}"/>
            </a:ext>
          </a:extLst>
        </xdr:cNvPr>
        <xdr:cNvCxnSpPr/>
      </xdr:nvCxnSpPr>
      <xdr:spPr>
        <a:xfrm>
          <a:off x="53047900" y="8626476"/>
          <a:ext cx="3740150" cy="317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oneCellAnchor>
    <xdr:from>
      <xdr:col>179</xdr:col>
      <xdr:colOff>571501</xdr:colOff>
      <xdr:row>52</xdr:row>
      <xdr:rowOff>79375</xdr:rowOff>
    </xdr:from>
    <xdr:ext cx="2317749" cy="460375"/>
    <xdr:sp macro="" textlink="">
      <xdr:nvSpPr>
        <xdr:cNvPr id="25" name="CaixaDeTexto 24">
          <a:extLst>
            <a:ext uri="{FF2B5EF4-FFF2-40B4-BE49-F238E27FC236}">
              <a16:creationId xmlns:a16="http://schemas.microsoft.com/office/drawing/2014/main" id="{00000000-0008-0000-0700-000019000000}"/>
            </a:ext>
          </a:extLst>
        </xdr:cNvPr>
        <xdr:cNvSpPr txBox="1"/>
      </xdr:nvSpPr>
      <xdr:spPr>
        <a:xfrm>
          <a:off x="48539401" y="8709025"/>
          <a:ext cx="2317749" cy="460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pt-BR" sz="1400" b="0"/>
            <a:t>EMPRESA</a:t>
          </a:r>
        </a:p>
      </xdr:txBody>
    </xdr:sp>
    <xdr:clientData/>
  </xdr:oneCellAnchor>
  <xdr:oneCellAnchor>
    <xdr:from>
      <xdr:col>181</xdr:col>
      <xdr:colOff>1460500</xdr:colOff>
      <xdr:row>52</xdr:row>
      <xdr:rowOff>63500</xdr:rowOff>
    </xdr:from>
    <xdr:ext cx="2857500" cy="476250"/>
    <xdr:sp macro="" textlink="">
      <xdr:nvSpPr>
        <xdr:cNvPr id="26" name="CaixaDeTexto 25">
          <a:extLst>
            <a:ext uri="{FF2B5EF4-FFF2-40B4-BE49-F238E27FC236}">
              <a16:creationId xmlns:a16="http://schemas.microsoft.com/office/drawing/2014/main" id="{00000000-0008-0000-0700-00001A000000}"/>
            </a:ext>
          </a:extLst>
        </xdr:cNvPr>
        <xdr:cNvSpPr txBox="1"/>
      </xdr:nvSpPr>
      <xdr:spPr>
        <a:xfrm>
          <a:off x="53428900" y="8693150"/>
          <a:ext cx="2857500" cy="476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pt-BR" sz="1400" b="0"/>
            <a:t>SOLICITANTE</a:t>
          </a:r>
        </a:p>
      </xdr:txBody>
    </xdr:sp>
    <xdr:clientData/>
  </xdr:oneCellAnchor>
  <xdr:oneCellAnchor>
    <xdr:from>
      <xdr:col>185</xdr:col>
      <xdr:colOff>254000</xdr:colOff>
      <xdr:row>52</xdr:row>
      <xdr:rowOff>126999</xdr:rowOff>
    </xdr:from>
    <xdr:ext cx="2952750" cy="349251"/>
    <xdr:sp macro="" textlink="">
      <xdr:nvSpPr>
        <xdr:cNvPr id="27" name="CaixaDeTexto 26">
          <a:extLst>
            <a:ext uri="{FF2B5EF4-FFF2-40B4-BE49-F238E27FC236}">
              <a16:creationId xmlns:a16="http://schemas.microsoft.com/office/drawing/2014/main" id="{00000000-0008-0000-0700-00001B000000}"/>
            </a:ext>
          </a:extLst>
        </xdr:cNvPr>
        <xdr:cNvSpPr txBox="1"/>
      </xdr:nvSpPr>
      <xdr:spPr>
        <a:xfrm>
          <a:off x="57985025" y="8756649"/>
          <a:ext cx="2952750" cy="3492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pt-BR" sz="1400" b="0"/>
            <a:t>APROVADOR</a:t>
          </a:r>
          <a:r>
            <a:rPr lang="pt-BR" sz="1400" b="1" baseline="0"/>
            <a:t> </a:t>
          </a:r>
          <a:r>
            <a:rPr lang="pt-BR" sz="1400" b="0" baseline="0"/>
            <a:t>BRASKEM</a:t>
          </a:r>
          <a:endParaRPr lang="pt-BR" sz="1400" b="0"/>
        </a:p>
      </xdr:txBody>
    </xdr:sp>
    <xdr:clientData/>
  </xdr:oneCellAnchor>
  <xdr:oneCellAnchor>
    <xdr:from>
      <xdr:col>37</xdr:col>
      <xdr:colOff>15875</xdr:colOff>
      <xdr:row>0</xdr:row>
      <xdr:rowOff>184150</xdr:rowOff>
    </xdr:from>
    <xdr:ext cx="1689614" cy="403225"/>
    <xdr:pic>
      <xdr:nvPicPr>
        <xdr:cNvPr id="28" name="Imagem 27">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399750" y="184150"/>
          <a:ext cx="1689614" cy="403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485775</xdr:colOff>
      <xdr:row>1</xdr:row>
      <xdr:rowOff>9525</xdr:rowOff>
    </xdr:from>
    <xdr:to>
      <xdr:col>1</xdr:col>
      <xdr:colOff>2686050</xdr:colOff>
      <xdr:row>2</xdr:row>
      <xdr:rowOff>161925</xdr:rowOff>
    </xdr:to>
    <xdr:pic>
      <xdr:nvPicPr>
        <xdr:cNvPr id="29" name="Picture 1">
          <a:extLst>
            <a:ext uri="{FF2B5EF4-FFF2-40B4-BE49-F238E27FC236}">
              <a16:creationId xmlns:a16="http://schemas.microsoft.com/office/drawing/2014/main" id="{00000000-0008-0000-0700-00001D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5775" y="200025"/>
          <a:ext cx="2809875"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179</xdr:col>
      <xdr:colOff>219075</xdr:colOff>
      <xdr:row>2</xdr:row>
      <xdr:rowOff>219075</xdr:rowOff>
    </xdr:from>
    <xdr:to>
      <xdr:col>180</xdr:col>
      <xdr:colOff>981075</xdr:colOff>
      <xdr:row>3</xdr:row>
      <xdr:rowOff>180975</xdr:rowOff>
    </xdr:to>
    <xdr:pic>
      <xdr:nvPicPr>
        <xdr:cNvPr id="30" name="Picture 2">
          <a:extLst>
            <a:ext uri="{FF2B5EF4-FFF2-40B4-BE49-F238E27FC236}">
              <a16:creationId xmlns:a16="http://schemas.microsoft.com/office/drawing/2014/main" id="{00000000-0008-0000-0700-00001E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186975" y="923925"/>
          <a:ext cx="16573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123825</xdr:colOff>
      <xdr:row>79</xdr:row>
      <xdr:rowOff>114300</xdr:rowOff>
    </xdr:from>
    <xdr:to>
      <xdr:col>15</xdr:col>
      <xdr:colOff>228600</xdr:colOff>
      <xdr:row>81</xdr:row>
      <xdr:rowOff>38100</xdr:rowOff>
    </xdr:to>
    <xdr:pic>
      <xdr:nvPicPr>
        <xdr:cNvPr id="31" name="Picture 3">
          <a:extLst>
            <a:ext uri="{FF2B5EF4-FFF2-40B4-BE49-F238E27FC236}">
              <a16:creationId xmlns:a16="http://schemas.microsoft.com/office/drawing/2014/main" id="{00000000-0008-0000-0700-00001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763125" y="14058900"/>
          <a:ext cx="1190625"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495300</xdr:colOff>
      <xdr:row>111</xdr:row>
      <xdr:rowOff>128589</xdr:rowOff>
    </xdr:from>
    <xdr:to>
      <xdr:col>17</xdr:col>
      <xdr:colOff>547687</xdr:colOff>
      <xdr:row>114</xdr:row>
      <xdr:rowOff>40893</xdr:rowOff>
    </xdr:to>
    <xdr:pic>
      <xdr:nvPicPr>
        <xdr:cNvPr id="32" name="Picture 4">
          <a:extLst>
            <a:ext uri="{FF2B5EF4-FFF2-40B4-BE49-F238E27FC236}">
              <a16:creationId xmlns:a16="http://schemas.microsoft.com/office/drawing/2014/main" id="{00000000-0008-0000-0700-000020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134600" y="20359689"/>
          <a:ext cx="2319337" cy="483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682536</xdr:colOff>
      <xdr:row>87</xdr:row>
      <xdr:rowOff>164015</xdr:rowOff>
    </xdr:from>
    <xdr:to>
      <xdr:col>12</xdr:col>
      <xdr:colOff>1569265</xdr:colOff>
      <xdr:row>94</xdr:row>
      <xdr:rowOff>17319</xdr:rowOff>
    </xdr:to>
    <xdr:pic>
      <xdr:nvPicPr>
        <xdr:cNvPr id="33" name="Imagem 32">
          <a:extLst>
            <a:ext uri="{FF2B5EF4-FFF2-40B4-BE49-F238E27FC236}">
              <a16:creationId xmlns:a16="http://schemas.microsoft.com/office/drawing/2014/main" id="{00000000-0008-0000-0700-000021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321211" y="15632615"/>
          <a:ext cx="3734704" cy="1186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28</xdr:col>
      <xdr:colOff>428625</xdr:colOff>
      <xdr:row>93</xdr:row>
      <xdr:rowOff>95250</xdr:rowOff>
    </xdr:from>
    <xdr:to>
      <xdr:col>35</xdr:col>
      <xdr:colOff>0</xdr:colOff>
      <xdr:row>97</xdr:row>
      <xdr:rowOff>152400</xdr:rowOff>
    </xdr:to>
    <xdr:sp macro="" textlink="">
      <xdr:nvSpPr>
        <xdr:cNvPr id="34" name="AutoShape 23">
          <a:extLst>
            <a:ext uri="{FF2B5EF4-FFF2-40B4-BE49-F238E27FC236}">
              <a16:creationId xmlns:a16="http://schemas.microsoft.com/office/drawing/2014/main" id="{00000000-0008-0000-0700-000022000000}"/>
            </a:ext>
          </a:extLst>
        </xdr:cNvPr>
        <xdr:cNvSpPr>
          <a:spLocks noChangeAspect="1" noChangeArrowheads="1"/>
        </xdr:cNvSpPr>
      </xdr:nvSpPr>
      <xdr:spPr bwMode="auto">
        <a:xfrm>
          <a:off x="19011900" y="16706850"/>
          <a:ext cx="3343275" cy="914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32</xdr:col>
      <xdr:colOff>236681</xdr:colOff>
      <xdr:row>80</xdr:row>
      <xdr:rowOff>89478</xdr:rowOff>
    </xdr:from>
    <xdr:to>
      <xdr:col>35</xdr:col>
      <xdr:colOff>12942</xdr:colOff>
      <xdr:row>82</xdr:row>
      <xdr:rowOff>0</xdr:rowOff>
    </xdr:to>
    <xdr:pic>
      <xdr:nvPicPr>
        <xdr:cNvPr id="35" name="Imagem 34">
          <a:extLst>
            <a:ext uri="{FF2B5EF4-FFF2-40B4-BE49-F238E27FC236}">
              <a16:creationId xmlns:a16="http://schemas.microsoft.com/office/drawing/2014/main" id="{00000000-0008-0000-0700-000023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37176" b="39766"/>
        <a:stretch/>
      </xdr:blipFill>
      <xdr:spPr>
        <a:xfrm>
          <a:off x="20982131" y="14224578"/>
          <a:ext cx="1385986" cy="291522"/>
        </a:xfrm>
        <a:prstGeom prst="rect">
          <a:avLst/>
        </a:prstGeom>
      </xdr:spPr>
    </xdr:pic>
    <xdr:clientData/>
  </xdr:twoCellAnchor>
  <xdr:twoCellAnchor editAs="oneCell">
    <xdr:from>
      <xdr:col>31</xdr:col>
      <xdr:colOff>126280</xdr:colOff>
      <xdr:row>111</xdr:row>
      <xdr:rowOff>95248</xdr:rowOff>
    </xdr:from>
    <xdr:to>
      <xdr:col>34</xdr:col>
      <xdr:colOff>619124</xdr:colOff>
      <xdr:row>113</xdr:row>
      <xdr:rowOff>137820</xdr:rowOff>
    </xdr:to>
    <xdr:pic>
      <xdr:nvPicPr>
        <xdr:cNvPr id="36" name="Imagem 35">
          <a:extLst>
            <a:ext uri="{FF2B5EF4-FFF2-40B4-BE49-F238E27FC236}">
              <a16:creationId xmlns:a16="http://schemas.microsoft.com/office/drawing/2014/main" id="{00000000-0008-0000-0700-000024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37176" b="39766"/>
        <a:stretch/>
      </xdr:blipFill>
      <xdr:spPr>
        <a:xfrm>
          <a:off x="20328805" y="20326348"/>
          <a:ext cx="2007319" cy="423572"/>
        </a:xfrm>
        <a:prstGeom prst="rect">
          <a:avLst/>
        </a:prstGeom>
      </xdr:spPr>
    </xdr:pic>
    <xdr:clientData/>
  </xdr:twoCellAnchor>
  <xdr:twoCellAnchor>
    <xdr:from>
      <xdr:col>12</xdr:col>
      <xdr:colOff>2130137</xdr:colOff>
      <xdr:row>139</xdr:row>
      <xdr:rowOff>86591</xdr:rowOff>
    </xdr:from>
    <xdr:to>
      <xdr:col>35</xdr:col>
      <xdr:colOff>427902</xdr:colOff>
      <xdr:row>167</xdr:row>
      <xdr:rowOff>158028</xdr:rowOff>
    </xdr:to>
    <xdr:grpSp>
      <xdr:nvGrpSpPr>
        <xdr:cNvPr id="40" name="Agrupar 39">
          <a:extLst>
            <a:ext uri="{FF2B5EF4-FFF2-40B4-BE49-F238E27FC236}">
              <a16:creationId xmlns:a16="http://schemas.microsoft.com/office/drawing/2014/main" id="{00000000-0008-0000-0700-000028000000}"/>
            </a:ext>
          </a:extLst>
        </xdr:cNvPr>
        <xdr:cNvGrpSpPr/>
      </xdr:nvGrpSpPr>
      <xdr:grpSpPr>
        <a:xfrm>
          <a:off x="9819410" y="19108882"/>
          <a:ext cx="13579328" cy="5114491"/>
          <a:chOff x="13700126" y="23939499"/>
          <a:chExt cx="16827499" cy="6334125"/>
        </a:xfrm>
        <a:noFill/>
      </xdr:grpSpPr>
      <xdr:pic>
        <xdr:nvPicPr>
          <xdr:cNvPr id="42" name="Picture 4">
            <a:extLst>
              <a:ext uri="{FF2B5EF4-FFF2-40B4-BE49-F238E27FC236}">
                <a16:creationId xmlns:a16="http://schemas.microsoft.com/office/drawing/2014/main" id="{00000000-0008-0000-0700-00002A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b="11094"/>
          <a:stretch/>
        </xdr:blipFill>
        <xdr:spPr>
          <a:xfrm>
            <a:off x="13700126" y="23939499"/>
            <a:ext cx="16827499" cy="6334125"/>
          </a:xfrm>
          <a:prstGeom prst="rect">
            <a:avLst/>
          </a:prstGeom>
          <a:grpFill/>
        </xdr:spPr>
      </xdr:pic>
      <xdr:sp macro="" textlink="">
        <xdr:nvSpPr>
          <xdr:cNvPr id="43" name="Object 4" hidden="1">
            <a:extLst>
              <a:ext uri="{63B3BB69-23CF-44E3-9099-C40C66FF867C}">
                <a14:compatExt xmlns:a14="http://schemas.microsoft.com/office/drawing/2010/main" spid="_x0000_s158724"/>
              </a:ext>
              <a:ext uri="{FF2B5EF4-FFF2-40B4-BE49-F238E27FC236}">
                <a16:creationId xmlns:a16="http://schemas.microsoft.com/office/drawing/2014/main" id="{00000000-0008-0000-0700-00002B000000}"/>
              </a:ext>
            </a:extLst>
          </xdr:cNvPr>
          <xdr:cNvSpPr/>
        </xdr:nvSpPr>
        <xdr:spPr bwMode="auto">
          <a:xfrm>
            <a:off x="13874750" y="24101425"/>
            <a:ext cx="1393824" cy="381000"/>
          </a:xfrm>
          <a:prstGeom prst="rect">
            <a:avLst/>
          </a:prstGeom>
          <a:noFill/>
          <a:extLst>
            <a:ext uri="{909E8E84-426E-40DD-AFC4-6F175D3DCCD1}">
              <a14:hiddenFill xmlns:a14="http://schemas.microsoft.com/office/drawing/2010/main">
                <a:solidFill>
                  <a:srgbClr val="FFFFFF"/>
                </a:solidFill>
              </a14:hiddenFill>
            </a:ext>
          </a:extLst>
        </xdr:spPr>
      </xdr:sp>
    </xdr:grpSp>
    <xdr:clientData/>
  </xdr:twoCellAnchor>
  <xdr:twoCellAnchor>
    <xdr:from>
      <xdr:col>13</xdr:col>
      <xdr:colOff>138545</xdr:colOff>
      <xdr:row>83</xdr:row>
      <xdr:rowOff>51955</xdr:rowOff>
    </xdr:from>
    <xdr:to>
      <xdr:col>35</xdr:col>
      <xdr:colOff>346363</xdr:colOff>
      <xdr:row>104</xdr:row>
      <xdr:rowOff>103909</xdr:rowOff>
    </xdr:to>
    <xdr:graphicFrame macro="">
      <xdr:nvGraphicFramePr>
        <xdr:cNvPr id="46" name="Gráfico 45">
          <a:extLst>
            <a:ext uri="{FF2B5EF4-FFF2-40B4-BE49-F238E27FC236}">
              <a16:creationId xmlns:a16="http://schemas.microsoft.com/office/drawing/2014/main" id="{00000000-0008-0000-07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2130136</xdr:colOff>
      <xdr:row>140</xdr:row>
      <xdr:rowOff>173181</xdr:rowOff>
    </xdr:from>
    <xdr:to>
      <xdr:col>35</xdr:col>
      <xdr:colOff>381000</xdr:colOff>
      <xdr:row>166</xdr:row>
      <xdr:rowOff>138544</xdr:rowOff>
    </xdr:to>
    <xdr:graphicFrame macro="">
      <xdr:nvGraphicFramePr>
        <xdr:cNvPr id="47" name="Gráfico 46">
          <a:extLst>
            <a:ext uri="{FF2B5EF4-FFF2-40B4-BE49-F238E27FC236}">
              <a16:creationId xmlns:a16="http://schemas.microsoft.com/office/drawing/2014/main" id="{00000000-0008-0000-07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0.03878</cdr:y>
    </cdr:from>
    <cdr:to>
      <cdr:x>0.26848</cdr:x>
      <cdr:y>0.16872</cdr:y>
    </cdr:to>
    <cdr:sp macro="" textlink="">
      <cdr:nvSpPr>
        <cdr:cNvPr id="2" name="Retângulo 1">
          <a:extLst xmlns:a="http://schemas.openxmlformats.org/drawingml/2006/main">
            <a:ext uri="{FF2B5EF4-FFF2-40B4-BE49-F238E27FC236}">
              <a16:creationId xmlns:a16="http://schemas.microsoft.com/office/drawing/2014/main" id="{ED1A0194-C4F5-4D12-A9AA-349F8378B97C}"/>
            </a:ext>
          </a:extLst>
        </cdr:cNvPr>
        <cdr:cNvSpPr/>
      </cdr:nvSpPr>
      <cdr:spPr>
        <a:xfrm xmlns:a="http://schemas.openxmlformats.org/drawingml/2006/main">
          <a:off x="0" y="83635"/>
          <a:ext cx="1851468" cy="280205"/>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nchor="ctr">
          <a:spAutoFit/>
        </a:bodyPr>
        <a:lstStyle xmlns:a="http://schemas.openxmlformats.org/drawingml/2006/main"/>
        <a:p xmlns:a="http://schemas.openxmlformats.org/drawingml/2006/main">
          <a:pPr algn="ctr"/>
          <a:r>
            <a:rPr lang="pt-BR" sz="1200" b="0" cap="none" spc="0">
              <a:ln w="0"/>
              <a:solidFill>
                <a:schemeClr val="tx1"/>
              </a:solidFill>
              <a:effectLst>
                <a:outerShdw blurRad="38100" dist="19050" dir="2700000" algn="tl" rotWithShape="0">
                  <a:schemeClr val="dk1">
                    <a:alpha val="40000"/>
                  </a:schemeClr>
                </a:outerShdw>
              </a:effectLst>
            </a:rPr>
            <a:t>CURVA</a:t>
          </a:r>
          <a:r>
            <a:rPr lang="pt-BR" sz="1200" b="0" cap="none" spc="0" baseline="0">
              <a:ln w="0"/>
              <a:solidFill>
                <a:schemeClr val="tx1"/>
              </a:solidFill>
              <a:effectLst>
                <a:outerShdw blurRad="38100" dist="19050" dir="2700000" algn="tl" rotWithShape="0">
                  <a:schemeClr val="dk1">
                    <a:alpha val="40000"/>
                  </a:schemeClr>
                </a:outerShdw>
              </a:effectLst>
            </a:rPr>
            <a:t> DE </a:t>
          </a:r>
          <a:r>
            <a:rPr lang="pt-BR" sz="1200" b="0" cap="none" spc="0">
              <a:ln w="0"/>
              <a:solidFill>
                <a:schemeClr val="tx1"/>
              </a:solidFill>
              <a:effectLst>
                <a:outerShdw blurRad="38100" dist="19050" dir="2700000" algn="tl" rotWithShape="0">
                  <a:schemeClr val="dk1">
                    <a:alpha val="40000"/>
                  </a:schemeClr>
                </a:outerShdw>
              </a:effectLst>
            </a:rPr>
            <a:t>AVANÇO FÍSICO</a:t>
          </a:r>
        </a:p>
      </cdr:txBody>
    </cdr:sp>
  </cdr:relSizeAnchor>
</c:userShapes>
</file>

<file path=xl/drawings/drawing9.xml><?xml version="1.0" encoding="utf-8"?>
<c:userShapes xmlns:c="http://schemas.openxmlformats.org/drawingml/2006/chart">
  <cdr:relSizeAnchor xmlns:cdr="http://schemas.openxmlformats.org/drawingml/2006/chartDrawing">
    <cdr:from>
      <cdr:x>0.36428</cdr:x>
      <cdr:y>0.03173</cdr:y>
    </cdr:from>
    <cdr:to>
      <cdr:x>0.67927</cdr:x>
      <cdr:y>0.10423</cdr:y>
    </cdr:to>
    <cdr:sp macro="" textlink="">
      <cdr:nvSpPr>
        <cdr:cNvPr id="2" name="Retângulo 1">
          <a:extLst xmlns:a="http://schemas.openxmlformats.org/drawingml/2006/main">
            <a:ext uri="{FF2B5EF4-FFF2-40B4-BE49-F238E27FC236}">
              <a16:creationId xmlns:a16="http://schemas.microsoft.com/office/drawing/2014/main" id="{ED1A0194-C4F5-4D12-A9AA-349F8378B97C}"/>
            </a:ext>
          </a:extLst>
        </cdr:cNvPr>
        <cdr:cNvSpPr/>
      </cdr:nvSpPr>
      <cdr:spPr>
        <a:xfrm xmlns:a="http://schemas.openxmlformats.org/drawingml/2006/main">
          <a:off x="4775640" y="163777"/>
          <a:ext cx="4129464" cy="374141"/>
        </a:xfrm>
        <a:prstGeom xmlns:a="http://schemas.openxmlformats.org/drawingml/2006/main" prst="rect">
          <a:avLst/>
        </a:prstGeom>
        <a:noFill xmlns:a="http://schemas.openxmlformats.org/drawingml/2006/main"/>
      </cdr:spPr>
      <cdr:txBody>
        <a:bodyPr xmlns:a="http://schemas.openxmlformats.org/drawingml/2006/main" wrap="none" lIns="91440" tIns="45720" rIns="91440" bIns="45720" anchor="ctr">
          <a:spAutoFit/>
        </a:bodyPr>
        <a:lstStyle xmlns:a="http://schemas.openxmlformats.org/drawingml/2006/main"/>
        <a:p xmlns:a="http://schemas.openxmlformats.org/drawingml/2006/main">
          <a:pPr algn="ctr"/>
          <a:r>
            <a:rPr lang="pt-BR" sz="1800" b="0" cap="none" spc="0">
              <a:ln w="0"/>
              <a:solidFill>
                <a:schemeClr val="tx1"/>
              </a:solidFill>
              <a:effectLst>
                <a:outerShdw blurRad="38100" dist="19050" dir="2700000" algn="tl" rotWithShape="0">
                  <a:schemeClr val="dk1">
                    <a:alpha val="40000"/>
                  </a:schemeClr>
                </a:outerShdw>
              </a:effectLst>
            </a:rPr>
            <a:t>DESEMBOLSO</a:t>
          </a:r>
          <a:r>
            <a:rPr lang="pt-BR" sz="1800" b="0" cap="none" spc="0" baseline="0">
              <a:ln w="0"/>
              <a:solidFill>
                <a:schemeClr val="tx1"/>
              </a:solidFill>
              <a:effectLst>
                <a:outerShdw blurRad="38100" dist="19050" dir="2700000" algn="tl" rotWithShape="0">
                  <a:schemeClr val="dk1">
                    <a:alpha val="40000"/>
                  </a:schemeClr>
                </a:outerShdw>
              </a:effectLst>
            </a:rPr>
            <a:t> x CUSTO SEM ISOLAMENTO</a:t>
          </a:r>
          <a:endParaRPr lang="pt-BR" sz="1800" b="0" cap="none" spc="0">
            <a:ln w="0"/>
            <a:solidFill>
              <a:schemeClr val="tx1"/>
            </a:solidFill>
            <a:effectLst>
              <a:outerShdw blurRad="38100" dist="19050" dir="2700000" algn="tl" rotWithShape="0">
                <a:schemeClr val="dk1">
                  <a:alpha val="40000"/>
                </a:schemeClr>
              </a:outerShdw>
            </a:effectLst>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Adriano/Documents/00_Priner/2018.09.17/2018.11_Novembro/02_2018.11_DHT%20Andaime_2018.11.24_46000098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kuncars/AppData/Local/Microsoft/Windows/Temporary%20Internet%20Files/Content.Outlook/D3WLMVXJ/MOCK_KA2_SP/MOCK_PROPOSAL_KA2_CROSS_SECTORAL/LLP_BEST_PRACTICES_KA2_KA3/KA2_LEARNIT/543305-budge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Bskba06/rede/Users/altemc01/Documents/01%20MillsSI%20BKM/00_Controle%20Integrado_PROG&amp;RDO&amp;BM_2016.02.FEV.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skba06\rede\Users\altemc01\Documents\01%20MillsSI%20BKM\00_Controle%20Integrado_PROG&amp;RDO&amp;BM_2016.02.FEV.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d.docs.live.net/Users/adriac28/Documents/Priner_UNIB/05_BMs/2018.08_Agosto/02_2018.08_DHT%20Andaime_2018.08.22_46000098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Risoterm%20Wilian/Desktop/TRABALHANDO/UCS/Pre&#769;via%20ORC.%20Parada%20Manutenc&#807;a&#771;o%20UCS_Rev-03%20-%20REPLANEJAMENT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RISOTERM\DOW\PARADA%20DE%20MANUTEN&#199;&#195;O\PARADA%20GERAL%20-%202020\ADD'ON%20PL%20C\C&#225;lculo%20&#225;rea%20de%20eq.%20Pl-C.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Bskba06/rede/Users/altemc01/Documents/01%20MillsSI%20BKM/00_Controle%20Integrado_PROG&amp;RDO&amp;BM_2016.06.JUN_medi&#231;&#227;o.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skba06\rede\Users\altemc01\Documents\01%20MillsSI%20BKM\00_Controle%20Integrado_PROG&amp;RDO&amp;BM_2016.06.JUN_medi&#231;&#227;o.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Trie01002/Fabio%20Alarcon/Documents%20and%20Settings/TRIE01002/Meus%20documentos/F&#225;bio/Planejamento/Medi&#231;&#227;o/01%20Janeiro/Documents%20and%20Settings/REGAP/Meus%20documentos/Medi&#231;&#227;o/PLANEJ/PLANEJAMENTO/FINANCEI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d.docs.live.net/00_Monsertec/1.1_Q1/55_BMs/2020.11/2020.11_DHT_Andaime_4600019864_AFC.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ale04002/Meus%20documentos/Documents%20and%20Settings/TRIE01002/Meus%20documentos/F&#225;bio/Clorosoda/Avan&#231;o%20Geral/Mapa%20Resumo/02%20Fevereiro/Resumo%20Geral%2027-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01_CTL.AND.ROT_BM%20ATUAL_2017.06.30_TCZIO.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00_Controle%20Integrado_PROG&amp;RDO&amp;BM_2016.06.JUN%20%20REV%200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Risoterm%20Wilian/Desktop/ACELEN/file:/E:/RISOTERM/DOW/PARADA%20DE%20MANUTEN&#199;&#195;O/PARADA%20GERAL%20-%202020/ADD'ON%20PL%20C/C&#225;lculo%20&#225;rea%20de%20eq.%20Pl-C.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Z:\Braskem\06-AS\2023\AS-088-2023%20-PARADA%20DEP%20-%20P-1106%20%20%20-%20(ISOLAMENTO)%20REV.01.xlsm"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d.docs.live.net/Users/altemc01/Documents/01%20MillsSI%20BKM/05_BMs/01.2017_Janeiro/01_Controle%20de%20Andaimes_2017.01%20JAN_ROTINA_.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Planilha%20Evid&#234;ncia.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Monsertec/Desktop/OLEFINAS%20JOHNNY/07-JULHO/ISOLAMENTO/2020.11_DHT_ISOLAMENTO_4600019864_BMF_REV.01%20JUNHO%20FORNOS.ROTINA.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ale04002\Meus%20documentos\Documents%20and%20Settings\TRIE01002\Meus%20documentos\F&#225;bio\Clorosoda\Avan&#231;o%20Geral\Mapa%20Resumo\02%20Fevereiro\Resumo%20Geral%2027-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W98-rog&#233;rio/c/Meus%20documentos/Promon-Concremat/Planilhas/Planejamento/Plan.%20Sem26/CPC/EAP%20C.Plan%20-%20Padr&#227;o%20Alunorte%20-%20Semana%20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98-rog&#233;rio\c\Meus%20documentos\Promon-Concremat\Planilhas\Planejamento\Plan.%20Sem26\CPC\EAP%20C.Plan%20-%20Padr&#227;o%20Alunorte%20-%20Semana%202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wcam33/gr_unpo_pc_ba$/BPS/Arvore/UDNN/Cpl/PrjCama&#231;ariCaprolacta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cam33\gr_unpo_pc_ba$\BPS\Arvore\UDNN\Cpl\PrjCama&#231;ariCaprolactam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apghnsp02/fmol/CBES/1600-1699/1675%20Hubbell%20Service%20Center%20Steel/Data/Analysis/Hubbell%20Stl%20Master%20Data%20File%2015Aug0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sapghnsp02\fmol\CBES\1600-1699\1675%20Hubbell%20Service%20Center%20Steel\Data\Analysis\Hubbell%20Stl%20Master%20Data%20File%2015Aug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EQUIPE"/>
      <sheetName val="RES.1"/>
      <sheetName val="DHT (2)"/>
      <sheetName val="DHT"/>
      <sheetName val="RESUMO"/>
    </sheetNames>
    <sheetDataSet>
      <sheetData sheetId="0">
        <row r="41">
          <cell r="B41" t="str">
            <v>#DIG.</v>
          </cell>
        </row>
        <row r="42">
          <cell r="B42" t="str">
            <v>APOIO</v>
          </cell>
        </row>
        <row r="43">
          <cell r="B43" t="str">
            <v>APOIO A-300</v>
          </cell>
        </row>
        <row r="44">
          <cell r="B44" t="str">
            <v>PAR. A-300</v>
          </cell>
        </row>
        <row r="45">
          <cell r="B45" t="str">
            <v>PAR. A-300_HH</v>
          </cell>
        </row>
        <row r="46">
          <cell r="B46" t="str">
            <v>BA-4102</v>
          </cell>
        </row>
        <row r="47">
          <cell r="B47" t="str">
            <v>BA-4102_HH</v>
          </cell>
        </row>
        <row r="48">
          <cell r="B48" t="str">
            <v>APOIO ADM</v>
          </cell>
        </row>
        <row r="49">
          <cell r="B49" t="str">
            <v>APOIO À CIVIL</v>
          </cell>
        </row>
        <row r="50">
          <cell r="B50" t="str">
            <v>APOIO CIVIL UO-II</v>
          </cell>
        </row>
        <row r="51">
          <cell r="B51" t="str">
            <v>ASE</v>
          </cell>
        </row>
        <row r="52">
          <cell r="B52" t="str">
            <v>BA-1103</v>
          </cell>
        </row>
        <row r="53">
          <cell r="B53" t="str">
            <v>BA-1101</v>
          </cell>
        </row>
        <row r="54">
          <cell r="B54" t="str">
            <v>BA-1101_HH</v>
          </cell>
        </row>
        <row r="55">
          <cell r="B55" t="str">
            <v>CENTRAL CAMAÇARI</v>
          </cell>
        </row>
        <row r="56">
          <cell r="B56" t="str">
            <v>DA-2351 B</v>
          </cell>
        </row>
        <row r="57">
          <cell r="B57" t="str">
            <v>DA-4406</v>
          </cell>
        </row>
        <row r="58">
          <cell r="B58" t="str">
            <v>DA-5208</v>
          </cell>
        </row>
        <row r="59">
          <cell r="B59" t="str">
            <v>DA-5258</v>
          </cell>
        </row>
        <row r="60">
          <cell r="B60" t="str">
            <v>A-2300</v>
          </cell>
        </row>
        <row r="61">
          <cell r="B61" t="str">
            <v>DEP</v>
          </cell>
        </row>
        <row r="62">
          <cell r="B62" t="str">
            <v>DTG</v>
          </cell>
        </row>
        <row r="63">
          <cell r="B63" t="str">
            <v>DTG FORNOS</v>
          </cell>
        </row>
        <row r="64">
          <cell r="B64" t="str">
            <v>DTG REC´s 2017</v>
          </cell>
        </row>
        <row r="65">
          <cell r="B65" t="str">
            <v>DTG REC´s 2018</v>
          </cell>
        </row>
        <row r="66">
          <cell r="B66" t="str">
            <v>DTG TIB</v>
          </cell>
        </row>
        <row r="67">
          <cell r="B67" t="str">
            <v>DTG UA</v>
          </cell>
        </row>
        <row r="68">
          <cell r="B68" t="str">
            <v>DTG UA-III</v>
          </cell>
        </row>
        <row r="69">
          <cell r="B69" t="str">
            <v>DTG UO</v>
          </cell>
        </row>
        <row r="70">
          <cell r="B70" t="str">
            <v>DTP ( FIBRAS )</v>
          </cell>
        </row>
        <row r="71">
          <cell r="B71" t="str">
            <v>EA-4501 A</v>
          </cell>
        </row>
        <row r="72">
          <cell r="B72" t="str">
            <v>EF-1900 B</v>
          </cell>
        </row>
        <row r="73">
          <cell r="B73" t="str">
            <v>EF-1900 I</v>
          </cell>
        </row>
        <row r="74">
          <cell r="B74" t="str">
            <v>EF-1900A</v>
          </cell>
        </row>
        <row r="75">
          <cell r="B75" t="str">
            <v>EF-1900B</v>
          </cell>
        </row>
        <row r="76">
          <cell r="B76" t="str">
            <v>EQUIPE TELHADO</v>
          </cell>
        </row>
        <row r="77">
          <cell r="B77" t="str">
            <v>EXTRA</v>
          </cell>
        </row>
        <row r="78">
          <cell r="B78" t="str">
            <v>FB-952 A</v>
          </cell>
        </row>
        <row r="79">
          <cell r="B79" t="str">
            <v>FB-951 D</v>
          </cell>
        </row>
        <row r="80">
          <cell r="B80" t="str">
            <v>FB-952 A_MM</v>
          </cell>
        </row>
        <row r="81">
          <cell r="B81" t="str">
            <v>FB-952 B</v>
          </cell>
        </row>
        <row r="82">
          <cell r="B82" t="str">
            <v>FB-967</v>
          </cell>
        </row>
        <row r="83">
          <cell r="B83" t="str">
            <v>FB-966</v>
          </cell>
        </row>
        <row r="84">
          <cell r="B84" t="str">
            <v>FB-1002 X</v>
          </cell>
        </row>
        <row r="85">
          <cell r="B85" t="str">
            <v>FB-4061</v>
          </cell>
        </row>
        <row r="86">
          <cell r="B86" t="str">
            <v>FB-4061_HH</v>
          </cell>
        </row>
        <row r="87">
          <cell r="B87" t="str">
            <v>FORNOS</v>
          </cell>
        </row>
        <row r="88">
          <cell r="B88" t="str">
            <v>GPA UA I</v>
          </cell>
        </row>
        <row r="89">
          <cell r="B89" t="str">
            <v>GPA UA II</v>
          </cell>
        </row>
        <row r="90">
          <cell r="B90" t="str">
            <v>GPA UO I</v>
          </cell>
        </row>
        <row r="91">
          <cell r="B91" t="str">
            <v>GPA UO II</v>
          </cell>
        </row>
        <row r="92">
          <cell r="B92" t="str">
            <v>GPA UTE</v>
          </cell>
        </row>
        <row r="93">
          <cell r="B93" t="str">
            <v>GV-5301 D</v>
          </cell>
        </row>
        <row r="94">
          <cell r="B94" t="str">
            <v>GV-5301 H_HH</v>
          </cell>
        </row>
        <row r="95">
          <cell r="B95" t="str">
            <v>GV-5301 D_HH</v>
          </cell>
        </row>
        <row r="96">
          <cell r="B96" t="str">
            <v>GV-5301 E</v>
          </cell>
        </row>
        <row r="97">
          <cell r="B97" t="str">
            <v>GV-5301 E_HH</v>
          </cell>
        </row>
        <row r="98">
          <cell r="B98" t="str">
            <v>GV-5301 H</v>
          </cell>
        </row>
        <row r="99">
          <cell r="B99" t="str">
            <v>INSP. CATÓDICA UO-I</v>
          </cell>
        </row>
        <row r="100">
          <cell r="B100" t="str">
            <v>INS-PARADA</v>
          </cell>
        </row>
        <row r="101">
          <cell r="B101" t="str">
            <v>INSPEÇÃO</v>
          </cell>
        </row>
        <row r="102">
          <cell r="B102" t="str">
            <v>INSPEÇÃO PRÉ-PARADA</v>
          </cell>
        </row>
        <row r="103">
          <cell r="B103" t="str">
            <v>ISOL. A-1000</v>
          </cell>
        </row>
        <row r="104">
          <cell r="B104" t="str">
            <v>LAB. UA-I</v>
          </cell>
        </row>
        <row r="105">
          <cell r="B105" t="str">
            <v>LINHA DE FACILIDADES</v>
          </cell>
        </row>
        <row r="106">
          <cell r="B106" t="str">
            <v>LINHA DE FW</v>
          </cell>
        </row>
        <row r="107">
          <cell r="B107" t="str">
            <v>LINHA DE V-15 EXTERNO</v>
          </cell>
        </row>
        <row r="108">
          <cell r="B108" t="str">
            <v>LINHA DE V-15 INTERNO</v>
          </cell>
        </row>
        <row r="109">
          <cell r="B109" t="str">
            <v>MB-5301G</v>
          </cell>
        </row>
        <row r="110">
          <cell r="B110" t="str">
            <v>NOTAS GM - EA-1142</v>
          </cell>
        </row>
        <row r="111">
          <cell r="B111" t="str">
            <v>NOTAS Z-3</v>
          </cell>
        </row>
        <row r="112">
          <cell r="B112" t="str">
            <v>PAR. UA-II 2018_HH</v>
          </cell>
        </row>
        <row r="113">
          <cell r="B113" t="str">
            <v>PARADA</v>
          </cell>
        </row>
        <row r="114">
          <cell r="B114" t="str">
            <v>PARADA (PJ)</v>
          </cell>
        </row>
        <row r="115">
          <cell r="B115" t="str">
            <v>PARADA UA-II 2018</v>
          </cell>
        </row>
        <row r="116">
          <cell r="B116" t="str">
            <v>PE-3</v>
          </cell>
        </row>
        <row r="117">
          <cell r="B117" t="str">
            <v>PIT STOP</v>
          </cell>
        </row>
        <row r="118">
          <cell r="B118" t="str">
            <v>PIT STOP A-350</v>
          </cell>
        </row>
        <row r="119">
          <cell r="B119" t="str">
            <v>PIT STOP A-5100</v>
          </cell>
        </row>
        <row r="120">
          <cell r="B120" t="str">
            <v>PIT STOP A-5200</v>
          </cell>
        </row>
        <row r="121">
          <cell r="B121" t="str">
            <v>PJ - A-1000</v>
          </cell>
        </row>
        <row r="122">
          <cell r="B122" t="str">
            <v>PJ - EA-4417</v>
          </cell>
        </row>
        <row r="123">
          <cell r="B123" t="str">
            <v>PJ A-1900</v>
          </cell>
        </row>
        <row r="124">
          <cell r="B124" t="str">
            <v>PJ A-300</v>
          </cell>
        </row>
        <row r="125">
          <cell r="B125" t="str">
            <v>PJ-EA-1501 A/B</v>
          </cell>
        </row>
        <row r="126">
          <cell r="B126" t="str">
            <v>PJ-EA-4417 A/B</v>
          </cell>
        </row>
        <row r="127">
          <cell r="B127" t="str">
            <v>PQ B-01</v>
          </cell>
        </row>
        <row r="128">
          <cell r="B128" t="str">
            <v>PQ B-02</v>
          </cell>
        </row>
        <row r="129">
          <cell r="B129" t="str">
            <v>PRÉ-PARADA</v>
          </cell>
        </row>
        <row r="130">
          <cell r="B130" t="str">
            <v>PROJ. A-1000</v>
          </cell>
        </row>
        <row r="131">
          <cell r="B131" t="str">
            <v>PT-10</v>
          </cell>
        </row>
        <row r="132">
          <cell r="B132" t="str">
            <v>REC´s 2017 FW/UA</v>
          </cell>
        </row>
        <row r="133">
          <cell r="B133" t="str">
            <v>REC´s 2017 FW/UO</v>
          </cell>
        </row>
        <row r="134">
          <cell r="B134" t="str">
            <v>REC´s 2017 TIB</v>
          </cell>
        </row>
        <row r="135">
          <cell r="B135" t="str">
            <v>REC´s 2017 UA-I</v>
          </cell>
        </row>
        <row r="136">
          <cell r="B136" t="str">
            <v>REC´s 2017 UA-II</v>
          </cell>
        </row>
        <row r="137">
          <cell r="B137" t="str">
            <v>REC´s 2017 UO</v>
          </cell>
        </row>
        <row r="138">
          <cell r="B138" t="str">
            <v>REC´s 2017 UA</v>
          </cell>
        </row>
        <row r="139">
          <cell r="B139" t="str">
            <v>REC´s 2017 UO-I</v>
          </cell>
        </row>
        <row r="140">
          <cell r="B140" t="str">
            <v>REC´s 2017 UO-II</v>
          </cell>
        </row>
        <row r="141">
          <cell r="B141" t="str">
            <v>REC´s 2017 UTE</v>
          </cell>
        </row>
        <row r="142">
          <cell r="B142" t="str">
            <v>REC´S ESPECIAIS</v>
          </cell>
        </row>
        <row r="143">
          <cell r="B143" t="str">
            <v>REC´s UO</v>
          </cell>
        </row>
        <row r="144">
          <cell r="B144" t="str">
            <v>REC´s UO I</v>
          </cell>
        </row>
        <row r="145">
          <cell r="B145" t="str">
            <v>REC-311335</v>
          </cell>
        </row>
        <row r="146">
          <cell r="B146" t="str">
            <v>REC-313736</v>
          </cell>
        </row>
        <row r="147">
          <cell r="B147" t="str">
            <v>RECs 2017</v>
          </cell>
        </row>
        <row r="148">
          <cell r="B148" t="str">
            <v>RECs UA II (ROT.)</v>
          </cell>
        </row>
        <row r="149">
          <cell r="B149" t="str">
            <v>REFEITÓRIO CENTRAL</v>
          </cell>
        </row>
        <row r="150">
          <cell r="B150" t="str">
            <v>REGENERAÇÃO</v>
          </cell>
        </row>
        <row r="151">
          <cell r="B151" t="str">
            <v>RMA 1</v>
          </cell>
        </row>
        <row r="152">
          <cell r="B152" t="str">
            <v>RMA 5</v>
          </cell>
        </row>
        <row r="153">
          <cell r="B153" t="str">
            <v>RMA 7</v>
          </cell>
        </row>
        <row r="154">
          <cell r="B154" t="str">
            <v>RMA HD</v>
          </cell>
        </row>
        <row r="155">
          <cell r="B155" t="str">
            <v>RMA HDC</v>
          </cell>
        </row>
        <row r="156">
          <cell r="B156" t="str">
            <v>RMA 7D</v>
          </cell>
        </row>
        <row r="157">
          <cell r="B157" t="str">
            <v>RMA 8</v>
          </cell>
        </row>
        <row r="158">
          <cell r="B158" t="str">
            <v>RMA 9</v>
          </cell>
        </row>
        <row r="159">
          <cell r="B159" t="str">
            <v>RMA 9 E</v>
          </cell>
        </row>
        <row r="160">
          <cell r="B160" t="str">
            <v>RMA 9 I</v>
          </cell>
        </row>
        <row r="161">
          <cell r="B161" t="str">
            <v>RMA 9 M</v>
          </cell>
        </row>
        <row r="162">
          <cell r="B162" t="str">
            <v>SF-6</v>
          </cell>
        </row>
        <row r="163">
          <cell r="B163" t="str">
            <v>STEAM TRACE</v>
          </cell>
        </row>
        <row r="164">
          <cell r="B164" t="str">
            <v>TANCAGEM</v>
          </cell>
        </row>
        <row r="165">
          <cell r="B165" t="str">
            <v>TECHBIOS</v>
          </cell>
        </row>
        <row r="166">
          <cell r="B166" t="str">
            <v>TG-5301 B</v>
          </cell>
        </row>
        <row r="167">
          <cell r="B167" t="str">
            <v>TG-5301-D</v>
          </cell>
        </row>
        <row r="168">
          <cell r="B168" t="str">
            <v>TROCADORES UO-I</v>
          </cell>
        </row>
        <row r="169">
          <cell r="B169" t="str">
            <v>TURNO DESLOCADO</v>
          </cell>
        </row>
        <row r="170">
          <cell r="B170" t="str">
            <v>TURNO PARADA</v>
          </cell>
        </row>
        <row r="171">
          <cell r="B171" t="str">
            <v>VAZAMENTOS UO-II</v>
          </cell>
        </row>
        <row r="172">
          <cell r="B172" t="str">
            <v>VENT´S &amp; DRENOS</v>
          </cell>
        </row>
        <row r="173">
          <cell r="B173" t="str">
            <v>FB-1029</v>
          </cell>
        </row>
        <row r="174">
          <cell r="B174" t="str">
            <v>PAR. REGUL. UA-I</v>
          </cell>
        </row>
        <row r="175">
          <cell r="B175" t="str">
            <v>REGENER. A-2300</v>
          </cell>
        </row>
        <row r="176">
          <cell r="B176" t="str">
            <v>PAR. REGUL. UA-I_HH</v>
          </cell>
        </row>
        <row r="177">
          <cell r="B177" t="str">
            <v>BKM ALAGOAS</v>
          </cell>
        </row>
        <row r="178">
          <cell r="B178" t="str">
            <v>DA-5201a04</v>
          </cell>
        </row>
        <row r="179">
          <cell r="B179" t="str">
            <v>INSP. UO-I PAR.2019</v>
          </cell>
        </row>
        <row r="180">
          <cell r="B180" t="str">
            <v>INSP. UTE PAR.2019</v>
          </cell>
        </row>
        <row r="181">
          <cell r="B181" t="str">
            <v>INSP. UA-I PAR.2019</v>
          </cell>
        </row>
        <row r="182">
          <cell r="B182" t="str">
            <v>INSP. TIB PAR.2019</v>
          </cell>
        </row>
        <row r="183">
          <cell r="B183" t="str">
            <v>FB-970</v>
          </cell>
        </row>
        <row r="184">
          <cell r="B184" t="str">
            <v>FB-2051 B</v>
          </cell>
        </row>
        <row r="185">
          <cell r="B185" t="str">
            <v>FB-1006</v>
          </cell>
        </row>
        <row r="186">
          <cell r="B186" t="str">
            <v>FB-1006_HH</v>
          </cell>
        </row>
        <row r="187">
          <cell r="B187" t="str">
            <v>P-5301 C</v>
          </cell>
        </row>
        <row r="188">
          <cell r="B188" t="str">
            <v>P-5302 C</v>
          </cell>
        </row>
        <row r="189">
          <cell r="B189" t="str">
            <v>BA-4110</v>
          </cell>
        </row>
        <row r="190">
          <cell r="B190" t="str">
            <v>BA-4110_HH</v>
          </cell>
        </row>
        <row r="191">
          <cell r="B191" t="str">
            <v>BLACKOUT</v>
          </cell>
        </row>
        <row r="192">
          <cell r="B192" t="str">
            <v>EXTRA INSPEÇÃO</v>
          </cell>
        </row>
        <row r="193">
          <cell r="B193" t="str">
            <v>P-02B&amp;C</v>
          </cell>
        </row>
        <row r="194">
          <cell r="B194" t="str">
            <v>TUB. HID. SUL</v>
          </cell>
        </row>
        <row r="195">
          <cell r="B195" t="str">
            <v>D-5301A1&amp;A2</v>
          </cell>
        </row>
        <row r="196">
          <cell r="B196" t="str">
            <v>VAZAMENTOS UO-I</v>
          </cell>
        </row>
        <row r="197">
          <cell r="B197" t="str">
            <v>GB-5301</v>
          </cell>
        </row>
        <row r="198">
          <cell r="B198" t="str">
            <v>PLANO PINT. UTE</v>
          </cell>
        </row>
        <row r="199">
          <cell r="B199" t="str">
            <v>PLANO PINT. TUB. 9C</v>
          </cell>
        </row>
        <row r="200">
          <cell r="B200" t="str">
            <v>TUB. 9C (CALDEIRARIA)</v>
          </cell>
        </row>
        <row r="201">
          <cell r="B201" t="str">
            <v>TUB. 32C 2017 - DTG</v>
          </cell>
        </row>
        <row r="202">
          <cell r="B202" t="str">
            <v>BA-4101</v>
          </cell>
        </row>
        <row r="203">
          <cell r="B203" t="str">
            <v>BA-4101_HH</v>
          </cell>
        </row>
        <row r="204">
          <cell r="B204" t="str">
            <v>BA-1108</v>
          </cell>
        </row>
        <row r="205">
          <cell r="B205" t="str">
            <v>BA-1108_HH</v>
          </cell>
        </row>
        <row r="206">
          <cell r="B206" t="str">
            <v>BA-4106</v>
          </cell>
        </row>
        <row r="207">
          <cell r="B207" t="str">
            <v>BA-4106_HH</v>
          </cell>
        </row>
        <row r="208">
          <cell r="B208" t="str">
            <v>SSMA</v>
          </cell>
        </row>
        <row r="209">
          <cell r="B209" t="str">
            <v>PJ DEP - BA-4101</v>
          </cell>
        </row>
        <row r="210">
          <cell r="B210" t="str">
            <v>REC´s 2018 TIB</v>
          </cell>
        </row>
        <row r="211">
          <cell r="B211" t="str">
            <v>REC´s 2018 UO</v>
          </cell>
        </row>
        <row r="212">
          <cell r="B212" t="str">
            <v>REC´s 2018 UA</v>
          </cell>
        </row>
        <row r="213">
          <cell r="B213" t="str">
            <v>REC´s 2018 UTE</v>
          </cell>
        </row>
        <row r="214">
          <cell r="B214" t="str">
            <v>MB-5302A</v>
          </cell>
        </row>
        <row r="215">
          <cell r="B215" t="str">
            <v>PJ-0601157 (BA-4101)</v>
          </cell>
        </row>
        <row r="216">
          <cell r="B216" t="str">
            <v>PJ-0601157</v>
          </cell>
        </row>
        <row r="217">
          <cell r="B217" t="str">
            <v>PJ-0601133</v>
          </cell>
        </row>
        <row r="218">
          <cell r="B218" t="str">
            <v>PJ-0601179 (A-2300)</v>
          </cell>
        </row>
        <row r="219">
          <cell r="B219" t="str">
            <v>PJ-0601179 (A-2300)_HH</v>
          </cell>
        </row>
        <row r="220">
          <cell r="B220" t="str">
            <v>PJ-0601179 (A-300)</v>
          </cell>
        </row>
        <row r="221">
          <cell r="B221" t="str">
            <v>PJ-0600663 (SE-21)</v>
          </cell>
        </row>
        <row r="222">
          <cell r="B222" t="str">
            <v>PJ-06001147 (ILHA 6/9)_HH</v>
          </cell>
        </row>
        <row r="223">
          <cell r="B223" t="str">
            <v>PJ-06001147 (ILHA 6/9)</v>
          </cell>
        </row>
        <row r="224">
          <cell r="B224" t="str">
            <v>PJ-0600603 (FB's PTE)</v>
          </cell>
        </row>
        <row r="225">
          <cell r="B225" t="str">
            <v>PJ-0600603 (FB's PTE)_HH</v>
          </cell>
        </row>
        <row r="226">
          <cell r="B226" t="str">
            <v>PJ-0601175 (TEGAL)</v>
          </cell>
        </row>
        <row r="227">
          <cell r="B227" t="str">
            <v>PJ-0601175 (TEGAL)_HH</v>
          </cell>
        </row>
        <row r="228">
          <cell r="B228" t="str">
            <v>PJ-0601035 (TEGAL)</v>
          </cell>
        </row>
        <row r="229">
          <cell r="B229" t="str">
            <v>PJ-0600952 (UTE)</v>
          </cell>
        </row>
        <row r="230">
          <cell r="B230" t="str">
            <v>PJ-0601717 (UTE)</v>
          </cell>
        </row>
        <row r="231">
          <cell r="B231" t="str">
            <v>PJ-0601717 (UTE)_HH</v>
          </cell>
        </row>
        <row r="232">
          <cell r="B232" t="str">
            <v>PJ-0601019 (A-2350)</v>
          </cell>
        </row>
        <row r="233">
          <cell r="B233" t="str">
            <v>PJ-0601019 (A-2350)_HH</v>
          </cell>
        </row>
        <row r="234">
          <cell r="B234" t="str">
            <v>PJ-0601158</v>
          </cell>
        </row>
        <row r="235">
          <cell r="B235" t="str">
            <v>PJ-0600478 (A-2300)</v>
          </cell>
        </row>
        <row r="236">
          <cell r="B236" t="str">
            <v>PJ-0600478 (A-2300)_HH</v>
          </cell>
        </row>
        <row r="237">
          <cell r="B237" t="str">
            <v>PJ-0600603 (FB-973)</v>
          </cell>
        </row>
        <row r="238">
          <cell r="B238" t="str">
            <v>PJ-0600596</v>
          </cell>
        </row>
        <row r="239">
          <cell r="B239" t="str">
            <v>PJ-0600596_HH</v>
          </cell>
        </row>
        <row r="240">
          <cell r="B240" t="str">
            <v>PJ-0601509</v>
          </cell>
        </row>
        <row r="241">
          <cell r="B241" t="str">
            <v>PJ-0601509_HH</v>
          </cell>
        </row>
        <row r="242">
          <cell r="B242" t="str">
            <v>PJ-0601262</v>
          </cell>
        </row>
        <row r="243">
          <cell r="B243" t="str">
            <v>PJ-0601820</v>
          </cell>
        </row>
        <row r="244">
          <cell r="B244" t="str">
            <v>PJ-0601820_HH</v>
          </cell>
        </row>
        <row r="245">
          <cell r="B245" t="str">
            <v>PJ-0601172</v>
          </cell>
        </row>
        <row r="246">
          <cell r="B246" t="str">
            <v>PJ-0601432</v>
          </cell>
        </row>
        <row r="247">
          <cell r="B247" t="str">
            <v>PJ-0601432_HH</v>
          </cell>
        </row>
        <row r="248">
          <cell r="B248" t="str">
            <v>PJ-0601415</v>
          </cell>
        </row>
        <row r="249">
          <cell r="B249" t="str">
            <v>GV-5301 B</v>
          </cell>
        </row>
        <row r="250">
          <cell r="B250" t="str">
            <v>GV-5301 B_HH</v>
          </cell>
        </row>
        <row r="251">
          <cell r="B251" t="str">
            <v>PJ-0600782 (DA-4104)</v>
          </cell>
        </row>
        <row r="252">
          <cell r="B252" t="str">
            <v>DTG A-1000</v>
          </cell>
        </row>
        <row r="253">
          <cell r="B253" t="str">
            <v>DTG A-1000_HH</v>
          </cell>
        </row>
        <row r="254">
          <cell r="B254" t="str">
            <v>A-350</v>
          </cell>
        </row>
        <row r="255">
          <cell r="B255" t="str">
            <v>PLANTÃO</v>
          </cell>
        </row>
        <row r="256">
          <cell r="B256" t="str">
            <v>DA-4103</v>
          </cell>
        </row>
        <row r="257">
          <cell r="B257" t="str">
            <v>CXS CD/OD</v>
          </cell>
        </row>
        <row r="258">
          <cell r="B258" t="str">
            <v>ELÉTRICA</v>
          </cell>
        </row>
        <row r="259">
          <cell r="B259" t="str">
            <v>PAR. A-350</v>
          </cell>
        </row>
        <row r="260">
          <cell r="B260" t="str">
            <v>PAR. A-350_HH</v>
          </cell>
        </row>
        <row r="261">
          <cell r="B261" t="str">
            <v>FB-1009</v>
          </cell>
        </row>
        <row r="262">
          <cell r="B262" t="str">
            <v>FB-973</v>
          </cell>
        </row>
        <row r="263">
          <cell r="B263" t="str">
            <v>FB-1009_HH</v>
          </cell>
        </row>
        <row r="264">
          <cell r="B264" t="str">
            <v>FB-963 A</v>
          </cell>
        </row>
        <row r="265">
          <cell r="B265" t="str">
            <v>FB-963 A_HH</v>
          </cell>
        </row>
        <row r="266">
          <cell r="B266" t="str">
            <v>LINHA FW</v>
          </cell>
        </row>
        <row r="267">
          <cell r="B267" t="str">
            <v>BA-1104 (BARREIRAS)</v>
          </cell>
        </row>
        <row r="268">
          <cell r="B268" t="str">
            <v>BA-4102 (BARREIRAS)</v>
          </cell>
        </row>
        <row r="269">
          <cell r="B269" t="str">
            <v>LINHA DE 20"&amp;60"</v>
          </cell>
        </row>
        <row r="270">
          <cell r="B270" t="str">
            <v>LH DE CI (GV-5301 D)</v>
          </cell>
        </row>
        <row r="271">
          <cell r="B271" t="str">
            <v>UA-III</v>
          </cell>
        </row>
        <row r="272">
          <cell r="B272" t="str">
            <v>ADEQUAÇÃO A-350</v>
          </cell>
        </row>
        <row r="273">
          <cell r="B273" t="str">
            <v>GBM-1940-AX</v>
          </cell>
        </row>
        <row r="274">
          <cell r="B274" t="str">
            <v>PJ_PR-15002_ISOL.</v>
          </cell>
        </row>
        <row r="275">
          <cell r="B275" t="str">
            <v>PJ_A-1000_ISOL.</v>
          </cell>
        </row>
        <row r="276">
          <cell r="B276" t="str">
            <v>FB-1052</v>
          </cell>
        </row>
        <row r="277">
          <cell r="B277" t="str">
            <v>BA-1112 (BARREIRAS)</v>
          </cell>
        </row>
        <row r="278">
          <cell r="B278" t="str">
            <v>BANDEIJAMENTO A-1060</v>
          </cell>
        </row>
        <row r="279">
          <cell r="B279" t="str">
            <v>GBT-1201</v>
          </cell>
        </row>
        <row r="280">
          <cell r="B280" t="str">
            <v>BA-1106_HH</v>
          </cell>
        </row>
        <row r="281">
          <cell r="B281" t="str">
            <v>BA-1106</v>
          </cell>
        </row>
        <row r="282">
          <cell r="B282" t="str">
            <v>GV-5301 C</v>
          </cell>
        </row>
        <row r="283">
          <cell r="B283" t="str">
            <v>GV-5301 A</v>
          </cell>
        </row>
        <row r="284">
          <cell r="B284" t="str">
            <v>GV-5301 A_HH</v>
          </cell>
        </row>
        <row r="285">
          <cell r="B285" t="str">
            <v>GARANTIA</v>
          </cell>
        </row>
        <row r="286">
          <cell r="B286" t="str">
            <v>GI-4101 A</v>
          </cell>
        </row>
        <row r="287">
          <cell r="B287" t="str">
            <v>GI-4101 A_HH</v>
          </cell>
        </row>
        <row r="288">
          <cell r="B288" t="str">
            <v>EF-25201 - TEGAL</v>
          </cell>
        </row>
        <row r="289">
          <cell r="B289" t="str">
            <v>FB-1003 X</v>
          </cell>
        </row>
        <row r="290">
          <cell r="B290" t="str">
            <v>FB-961 D</v>
          </cell>
        </row>
        <row r="291">
          <cell r="B291" t="str">
            <v>TEGAL_DTG</v>
          </cell>
        </row>
        <row r="292">
          <cell r="B292" t="str">
            <v>P-5302 A</v>
          </cell>
        </row>
        <row r="293">
          <cell r="B293" t="str">
            <v>...</v>
          </cell>
        </row>
      </sheetData>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Timetable (LLP &amp; Third)"/>
      <sheetName val="2. Staff (LLP)"/>
      <sheetName val="3. Travel &amp; subsistence (LLP)"/>
      <sheetName val="4. Equipment (LLP)"/>
      <sheetName val="5. Subcontracting (LLP)"/>
      <sheetName val="6. Other (LLP)"/>
      <sheetName val="7. Expenditure &amp; revenue (LLP)"/>
      <sheetName val="8. Staff (Third)"/>
      <sheetName val="9. Travel &amp; subsistence (Third)"/>
      <sheetName val="10. Other (Third)"/>
      <sheetName val="11.Expenditure &amp; revenue(Third)"/>
      <sheetName val="12. Consolidated budget "/>
      <sheetName val="13. Ceilings"/>
      <sheetName val="14. Actions"/>
      <sheetName val="GlobalBudget"/>
    </sheetNames>
    <sheetDataSet>
      <sheetData sheetId="0"/>
      <sheetData sheetId="1">
        <row r="9">
          <cell r="A9" t="str">
            <v>P1</v>
          </cell>
        </row>
        <row r="10">
          <cell r="A10" t="str">
            <v>P2</v>
          </cell>
        </row>
        <row r="11">
          <cell r="A11" t="str">
            <v>P3</v>
          </cell>
        </row>
        <row r="12">
          <cell r="A12" t="str">
            <v>P4</v>
          </cell>
        </row>
        <row r="13">
          <cell r="A13" t="str">
            <v>P5</v>
          </cell>
        </row>
        <row r="14">
          <cell r="A14" t="str">
            <v>P6</v>
          </cell>
        </row>
        <row r="15">
          <cell r="A15" t="str">
            <v>P7</v>
          </cell>
        </row>
        <row r="16">
          <cell r="A16" t="str">
            <v>P8</v>
          </cell>
        </row>
        <row r="17">
          <cell r="A17" t="str">
            <v>P9</v>
          </cell>
        </row>
        <row r="18">
          <cell r="A18" t="str">
            <v>P10</v>
          </cell>
        </row>
        <row r="19">
          <cell r="A19" t="str">
            <v>P11</v>
          </cell>
        </row>
        <row r="20">
          <cell r="A20" t="str">
            <v>P12</v>
          </cell>
        </row>
        <row r="21">
          <cell r="A21" t="str">
            <v>P13</v>
          </cell>
        </row>
        <row r="22">
          <cell r="A22" t="str">
            <v>P14</v>
          </cell>
        </row>
        <row r="23">
          <cell r="A23" t="str">
            <v>P15</v>
          </cell>
        </row>
        <row r="24">
          <cell r="A24" t="str">
            <v>P16</v>
          </cell>
        </row>
        <row r="25">
          <cell r="A25" t="str">
            <v>P17</v>
          </cell>
        </row>
        <row r="26">
          <cell r="A26" t="str">
            <v>P18</v>
          </cell>
        </row>
        <row r="27">
          <cell r="A27" t="str">
            <v>P19</v>
          </cell>
        </row>
        <row r="28">
          <cell r="A28" t="str">
            <v>P20</v>
          </cell>
        </row>
        <row r="29">
          <cell r="A29" t="str">
            <v>P21</v>
          </cell>
        </row>
        <row r="30">
          <cell r="A30" t="str">
            <v>P22</v>
          </cell>
        </row>
        <row r="31">
          <cell r="A31" t="str">
            <v>P23</v>
          </cell>
        </row>
        <row r="32">
          <cell r="A32" t="str">
            <v>P24</v>
          </cell>
        </row>
        <row r="33">
          <cell r="A33" t="str">
            <v>P25</v>
          </cell>
        </row>
        <row r="34">
          <cell r="A34" t="str">
            <v>P26</v>
          </cell>
        </row>
        <row r="35">
          <cell r="A35" t="str">
            <v>P27</v>
          </cell>
        </row>
        <row r="36">
          <cell r="A36" t="str">
            <v>P28</v>
          </cell>
        </row>
        <row r="37">
          <cell r="A37" t="str">
            <v>P29</v>
          </cell>
        </row>
        <row r="38">
          <cell r="A38" t="str">
            <v>P30</v>
          </cell>
        </row>
        <row r="39">
          <cell r="A39" t="str">
            <v>P31</v>
          </cell>
        </row>
        <row r="40">
          <cell r="A40" t="str">
            <v>P32</v>
          </cell>
        </row>
        <row r="41">
          <cell r="A41" t="str">
            <v>P33</v>
          </cell>
        </row>
        <row r="42">
          <cell r="A42" t="str">
            <v>P34</v>
          </cell>
        </row>
        <row r="43">
          <cell r="A43" t="str">
            <v>P35</v>
          </cell>
        </row>
        <row r="44">
          <cell r="A44" t="str">
            <v>P36</v>
          </cell>
        </row>
        <row r="45">
          <cell r="A45" t="str">
            <v>P37</v>
          </cell>
        </row>
        <row r="46">
          <cell r="A46" t="str">
            <v>P38</v>
          </cell>
        </row>
        <row r="47">
          <cell r="A47" t="str">
            <v>P39</v>
          </cell>
        </row>
        <row r="48">
          <cell r="A48" t="str">
            <v>P40</v>
          </cell>
        </row>
        <row r="49">
          <cell r="A49" t="str">
            <v>P41</v>
          </cell>
        </row>
        <row r="50">
          <cell r="A50" t="str">
            <v>P42</v>
          </cell>
        </row>
        <row r="51">
          <cell r="A51" t="str">
            <v>P43</v>
          </cell>
        </row>
        <row r="52">
          <cell r="A52" t="str">
            <v>P44</v>
          </cell>
        </row>
        <row r="53">
          <cell r="A53" t="str">
            <v>P45</v>
          </cell>
        </row>
        <row r="54">
          <cell r="A54" t="str">
            <v>P46</v>
          </cell>
        </row>
        <row r="55">
          <cell r="A55" t="str">
            <v>P47</v>
          </cell>
        </row>
        <row r="56">
          <cell r="A56" t="str">
            <v>P48</v>
          </cell>
        </row>
        <row r="57">
          <cell r="A57" t="str">
            <v>P49</v>
          </cell>
        </row>
        <row r="58">
          <cell r="A58" t="str">
            <v>P50</v>
          </cell>
        </row>
        <row r="59">
          <cell r="A59" t="str">
            <v>P51</v>
          </cell>
        </row>
        <row r="60">
          <cell r="A60" t="str">
            <v>P52</v>
          </cell>
        </row>
        <row r="61">
          <cell r="A61" t="str">
            <v>P53</v>
          </cell>
        </row>
        <row r="62">
          <cell r="A62" t="str">
            <v>P54</v>
          </cell>
        </row>
        <row r="63">
          <cell r="A63" t="str">
            <v>P55</v>
          </cell>
        </row>
        <row r="64">
          <cell r="A64" t="str">
            <v>P56</v>
          </cell>
        </row>
        <row r="65">
          <cell r="A65" t="str">
            <v>P57</v>
          </cell>
        </row>
        <row r="66">
          <cell r="A66" t="str">
            <v>P58</v>
          </cell>
        </row>
        <row r="67">
          <cell r="A67" t="str">
            <v>P59</v>
          </cell>
        </row>
        <row r="68">
          <cell r="A68" t="str">
            <v>P60</v>
          </cell>
        </row>
        <row r="69">
          <cell r="A69" t="str">
            <v>P61</v>
          </cell>
        </row>
        <row r="70">
          <cell r="A70" t="str">
            <v>P62</v>
          </cell>
        </row>
        <row r="71">
          <cell r="A71" t="str">
            <v>P63</v>
          </cell>
        </row>
        <row r="72">
          <cell r="A72" t="str">
            <v>P64</v>
          </cell>
        </row>
        <row r="73">
          <cell r="A73" t="str">
            <v>P65</v>
          </cell>
        </row>
        <row r="74">
          <cell r="A74" t="str">
            <v>P66</v>
          </cell>
        </row>
        <row r="75">
          <cell r="A75" t="str">
            <v>P67</v>
          </cell>
        </row>
        <row r="76">
          <cell r="A76" t="str">
            <v>P68</v>
          </cell>
        </row>
        <row r="77">
          <cell r="A77" t="str">
            <v>P69</v>
          </cell>
        </row>
        <row r="78">
          <cell r="A78" t="str">
            <v>P70</v>
          </cell>
        </row>
        <row r="79">
          <cell r="A79" t="str">
            <v>P71</v>
          </cell>
        </row>
        <row r="80">
          <cell r="A80" t="str">
            <v>P72</v>
          </cell>
        </row>
        <row r="81">
          <cell r="A81" t="str">
            <v>P73</v>
          </cell>
        </row>
        <row r="82">
          <cell r="A82" t="str">
            <v>P74</v>
          </cell>
        </row>
        <row r="83">
          <cell r="A83" t="str">
            <v>P75</v>
          </cell>
        </row>
        <row r="84">
          <cell r="A84" t="str">
            <v>P76</v>
          </cell>
        </row>
        <row r="85">
          <cell r="A85" t="str">
            <v>P77</v>
          </cell>
        </row>
        <row r="86">
          <cell r="A86" t="str">
            <v>P78</v>
          </cell>
        </row>
        <row r="87">
          <cell r="A87" t="str">
            <v>P79</v>
          </cell>
        </row>
        <row r="88">
          <cell r="A88" t="str">
            <v>P80</v>
          </cell>
        </row>
        <row r="89">
          <cell r="A89" t="str">
            <v>P81</v>
          </cell>
        </row>
        <row r="90">
          <cell r="A90" t="str">
            <v>P82</v>
          </cell>
        </row>
        <row r="91">
          <cell r="A91" t="str">
            <v>P83</v>
          </cell>
        </row>
        <row r="92">
          <cell r="A92" t="str">
            <v>P84</v>
          </cell>
        </row>
        <row r="93">
          <cell r="A93" t="str">
            <v>P85</v>
          </cell>
        </row>
        <row r="94">
          <cell r="A94" t="str">
            <v>P86</v>
          </cell>
        </row>
        <row r="95">
          <cell r="A95" t="str">
            <v>P87</v>
          </cell>
        </row>
        <row r="96">
          <cell r="A96" t="str">
            <v>P88</v>
          </cell>
        </row>
        <row r="97">
          <cell r="A97" t="str">
            <v>P89</v>
          </cell>
        </row>
        <row r="98">
          <cell r="A98" t="str">
            <v>P90</v>
          </cell>
        </row>
        <row r="99">
          <cell r="A99" t="str">
            <v>P91</v>
          </cell>
        </row>
        <row r="100">
          <cell r="A100" t="str">
            <v>P92</v>
          </cell>
        </row>
        <row r="101">
          <cell r="A101" t="str">
            <v>P93</v>
          </cell>
        </row>
        <row r="102">
          <cell r="A102" t="str">
            <v>P94</v>
          </cell>
        </row>
        <row r="103">
          <cell r="A103" t="str">
            <v>P95</v>
          </cell>
        </row>
        <row r="104">
          <cell r="A104" t="str">
            <v>P96</v>
          </cell>
        </row>
        <row r="105">
          <cell r="A105" t="str">
            <v>P97</v>
          </cell>
        </row>
        <row r="106">
          <cell r="A106" t="str">
            <v>P98</v>
          </cell>
        </row>
        <row r="107">
          <cell r="A107" t="str">
            <v>P99</v>
          </cell>
        </row>
        <row r="108">
          <cell r="A108" t="str">
            <v>P100</v>
          </cell>
        </row>
        <row r="109">
          <cell r="A109" t="str">
            <v>P101</v>
          </cell>
        </row>
        <row r="110">
          <cell r="A110" t="str">
            <v>P102</v>
          </cell>
        </row>
        <row r="111">
          <cell r="A111" t="str">
            <v>P103</v>
          </cell>
        </row>
        <row r="112">
          <cell r="A112" t="str">
            <v>P104</v>
          </cell>
        </row>
        <row r="113">
          <cell r="A113" t="str">
            <v>P105</v>
          </cell>
        </row>
        <row r="114">
          <cell r="A114" t="str">
            <v>P106</v>
          </cell>
        </row>
        <row r="115">
          <cell r="A115" t="str">
            <v>P107</v>
          </cell>
        </row>
        <row r="116">
          <cell r="A116" t="str">
            <v>P108</v>
          </cell>
        </row>
        <row r="117">
          <cell r="A117" t="str">
            <v>P109</v>
          </cell>
        </row>
        <row r="118">
          <cell r="A118" t="str">
            <v>P110</v>
          </cell>
        </row>
        <row r="119">
          <cell r="A119" t="str">
            <v>P111</v>
          </cell>
        </row>
        <row r="120">
          <cell r="A120" t="str">
            <v>P112</v>
          </cell>
        </row>
        <row r="121">
          <cell r="A121" t="str">
            <v>P113</v>
          </cell>
        </row>
        <row r="122">
          <cell r="A122" t="str">
            <v>P114</v>
          </cell>
        </row>
        <row r="123">
          <cell r="A123" t="str">
            <v>P115</v>
          </cell>
        </row>
        <row r="124">
          <cell r="A124" t="str">
            <v>P116</v>
          </cell>
        </row>
        <row r="125">
          <cell r="A125" t="str">
            <v>P117</v>
          </cell>
        </row>
        <row r="126">
          <cell r="A126" t="str">
            <v>P118</v>
          </cell>
        </row>
        <row r="127">
          <cell r="A127" t="str">
            <v>P119</v>
          </cell>
        </row>
        <row r="128">
          <cell r="A128" t="str">
            <v>P120</v>
          </cell>
        </row>
        <row r="129">
          <cell r="A129" t="str">
            <v>P121</v>
          </cell>
        </row>
        <row r="130">
          <cell r="A130" t="str">
            <v>P122</v>
          </cell>
        </row>
        <row r="131">
          <cell r="A131" t="str">
            <v>P123</v>
          </cell>
        </row>
        <row r="132">
          <cell r="A132" t="str">
            <v>P124</v>
          </cell>
        </row>
        <row r="133">
          <cell r="A133" t="str">
            <v>P125</v>
          </cell>
        </row>
        <row r="134">
          <cell r="A134" t="str">
            <v>P126</v>
          </cell>
        </row>
        <row r="135">
          <cell r="A135" t="str">
            <v>P127</v>
          </cell>
        </row>
        <row r="136">
          <cell r="A136" t="str">
            <v>P128</v>
          </cell>
        </row>
        <row r="137">
          <cell r="A137" t="str">
            <v>P129</v>
          </cell>
        </row>
        <row r="138">
          <cell r="A138" t="str">
            <v>P130</v>
          </cell>
        </row>
        <row r="139">
          <cell r="A139" t="str">
            <v>P131</v>
          </cell>
        </row>
        <row r="140">
          <cell r="A140" t="str">
            <v>P132</v>
          </cell>
        </row>
        <row r="141">
          <cell r="A141" t="str">
            <v>P133</v>
          </cell>
        </row>
        <row r="142">
          <cell r="A142" t="str">
            <v>P134</v>
          </cell>
        </row>
        <row r="143">
          <cell r="A143" t="str">
            <v>P135</v>
          </cell>
        </row>
        <row r="144">
          <cell r="A144" t="str">
            <v>P136</v>
          </cell>
        </row>
        <row r="145">
          <cell r="A145" t="str">
            <v>P137</v>
          </cell>
        </row>
        <row r="146">
          <cell r="A146" t="str">
            <v>P138</v>
          </cell>
        </row>
        <row r="147">
          <cell r="A147" t="str">
            <v>P139</v>
          </cell>
        </row>
        <row r="148">
          <cell r="A148" t="str">
            <v>P140</v>
          </cell>
        </row>
        <row r="149">
          <cell r="A149" t="str">
            <v>P141</v>
          </cell>
        </row>
        <row r="150">
          <cell r="A150" t="str">
            <v>P142</v>
          </cell>
        </row>
        <row r="151">
          <cell r="A151" t="str">
            <v>P143</v>
          </cell>
        </row>
        <row r="152">
          <cell r="A152" t="str">
            <v>P144</v>
          </cell>
        </row>
        <row r="153">
          <cell r="A153" t="str">
            <v>P145</v>
          </cell>
        </row>
        <row r="154">
          <cell r="A154" t="str">
            <v>P146</v>
          </cell>
        </row>
        <row r="155">
          <cell r="A155" t="str">
            <v>P147</v>
          </cell>
        </row>
        <row r="156">
          <cell r="A156" t="str">
            <v>P148</v>
          </cell>
        </row>
        <row r="157">
          <cell r="A157" t="str">
            <v>P149</v>
          </cell>
        </row>
        <row r="158">
          <cell r="A158" t="str">
            <v>P150</v>
          </cell>
        </row>
        <row r="159">
          <cell r="A159" t="str">
            <v>P151</v>
          </cell>
        </row>
        <row r="160">
          <cell r="A160" t="str">
            <v>P152</v>
          </cell>
        </row>
        <row r="161">
          <cell r="A161" t="str">
            <v>P153</v>
          </cell>
        </row>
        <row r="162">
          <cell r="A162" t="str">
            <v>P154</v>
          </cell>
        </row>
        <row r="163">
          <cell r="A163" t="str">
            <v>P155</v>
          </cell>
        </row>
        <row r="164">
          <cell r="A164" t="str">
            <v>P156</v>
          </cell>
        </row>
        <row r="165">
          <cell r="A165" t="str">
            <v>P157</v>
          </cell>
        </row>
        <row r="166">
          <cell r="A166" t="str">
            <v>P158</v>
          </cell>
        </row>
        <row r="167">
          <cell r="A167" t="str">
            <v>P159</v>
          </cell>
        </row>
        <row r="168">
          <cell r="A168" t="str">
            <v>P160</v>
          </cell>
        </row>
        <row r="169">
          <cell r="A169" t="str">
            <v>P161</v>
          </cell>
        </row>
        <row r="170">
          <cell r="A170" t="str">
            <v>P162</v>
          </cell>
        </row>
        <row r="171">
          <cell r="A171" t="str">
            <v>P163</v>
          </cell>
        </row>
        <row r="172">
          <cell r="A172" t="str">
            <v>P164</v>
          </cell>
        </row>
        <row r="173">
          <cell r="A173" t="str">
            <v>P165</v>
          </cell>
        </row>
        <row r="174">
          <cell r="A174" t="str">
            <v>P166</v>
          </cell>
        </row>
        <row r="175">
          <cell r="A175" t="str">
            <v>P167</v>
          </cell>
        </row>
        <row r="176">
          <cell r="A176" t="str">
            <v>P168</v>
          </cell>
        </row>
        <row r="177">
          <cell r="A177" t="str">
            <v>P169</v>
          </cell>
        </row>
        <row r="178">
          <cell r="A178" t="str">
            <v>P170</v>
          </cell>
        </row>
        <row r="179">
          <cell r="A179" t="str">
            <v>P171</v>
          </cell>
        </row>
        <row r="180">
          <cell r="A180" t="str">
            <v>P172</v>
          </cell>
        </row>
        <row r="181">
          <cell r="A181" t="str">
            <v>P173</v>
          </cell>
        </row>
        <row r="182">
          <cell r="A182" t="str">
            <v>P174</v>
          </cell>
        </row>
        <row r="183">
          <cell r="A183" t="str">
            <v>P175</v>
          </cell>
        </row>
        <row r="184">
          <cell r="A184" t="str">
            <v>P176</v>
          </cell>
        </row>
        <row r="185">
          <cell r="A185" t="str">
            <v>P177</v>
          </cell>
        </row>
        <row r="186">
          <cell r="A186" t="str">
            <v>P178</v>
          </cell>
        </row>
        <row r="187">
          <cell r="A187" t="str">
            <v>P179</v>
          </cell>
        </row>
        <row r="188">
          <cell r="A188" t="str">
            <v>P180</v>
          </cell>
        </row>
        <row r="189">
          <cell r="A189" t="str">
            <v>P181</v>
          </cell>
        </row>
        <row r="190">
          <cell r="A190" t="str">
            <v>P182</v>
          </cell>
        </row>
        <row r="191">
          <cell r="A191" t="str">
            <v>P183</v>
          </cell>
        </row>
        <row r="192">
          <cell r="A192" t="str">
            <v>P184</v>
          </cell>
        </row>
        <row r="193">
          <cell r="A193" t="str">
            <v>P185</v>
          </cell>
        </row>
        <row r="194">
          <cell r="A194" t="str">
            <v>P186</v>
          </cell>
        </row>
        <row r="195">
          <cell r="A195" t="str">
            <v>P187</v>
          </cell>
        </row>
        <row r="196">
          <cell r="A196" t="str">
            <v>P188</v>
          </cell>
        </row>
        <row r="197">
          <cell r="A197" t="str">
            <v>P189</v>
          </cell>
        </row>
        <row r="198">
          <cell r="A198" t="str">
            <v>P190</v>
          </cell>
        </row>
        <row r="199">
          <cell r="A199" t="str">
            <v>P191</v>
          </cell>
        </row>
        <row r="200">
          <cell r="A200" t="str">
            <v>P192</v>
          </cell>
        </row>
        <row r="201">
          <cell r="A201" t="str">
            <v>P193</v>
          </cell>
        </row>
        <row r="202">
          <cell r="A202" t="str">
            <v>P194</v>
          </cell>
        </row>
        <row r="203">
          <cell r="A203" t="str">
            <v>P195</v>
          </cell>
        </row>
        <row r="204">
          <cell r="A204" t="str">
            <v>P196</v>
          </cell>
        </row>
        <row r="205">
          <cell r="A205" t="str">
            <v>P197</v>
          </cell>
        </row>
        <row r="206">
          <cell r="A206" t="str">
            <v>P198</v>
          </cell>
        </row>
        <row r="207">
          <cell r="A207" t="str">
            <v>P199</v>
          </cell>
        </row>
        <row r="208">
          <cell r="A208" t="str">
            <v>P200</v>
          </cell>
        </row>
      </sheetData>
      <sheetData sheetId="2"/>
      <sheetData sheetId="3"/>
      <sheetData sheetId="4"/>
      <sheetData sheetId="5"/>
      <sheetData sheetId="6">
        <row r="1">
          <cell r="T1">
            <v>1</v>
          </cell>
        </row>
        <row r="2">
          <cell r="T2">
            <v>2</v>
          </cell>
        </row>
        <row r="3">
          <cell r="T3">
            <v>3</v>
          </cell>
        </row>
        <row r="4">
          <cell r="T4">
            <v>4</v>
          </cell>
        </row>
        <row r="5">
          <cell r="T5">
            <v>5</v>
          </cell>
        </row>
        <row r="6">
          <cell r="T6">
            <v>6</v>
          </cell>
        </row>
        <row r="7">
          <cell r="T7">
            <v>7</v>
          </cell>
        </row>
        <row r="8">
          <cell r="T8">
            <v>8</v>
          </cell>
        </row>
        <row r="9">
          <cell r="T9">
            <v>9</v>
          </cell>
        </row>
        <row r="10">
          <cell r="T10">
            <v>10</v>
          </cell>
        </row>
        <row r="11">
          <cell r="T11">
            <v>11</v>
          </cell>
        </row>
        <row r="12">
          <cell r="T12">
            <v>12</v>
          </cell>
        </row>
        <row r="13">
          <cell r="T13">
            <v>13</v>
          </cell>
        </row>
        <row r="14">
          <cell r="T14">
            <v>14</v>
          </cell>
        </row>
        <row r="15">
          <cell r="T15">
            <v>15</v>
          </cell>
        </row>
        <row r="16">
          <cell r="T16">
            <v>16</v>
          </cell>
        </row>
        <row r="17">
          <cell r="T17">
            <v>17</v>
          </cell>
        </row>
        <row r="18">
          <cell r="T18">
            <v>18</v>
          </cell>
        </row>
        <row r="19">
          <cell r="T19">
            <v>19</v>
          </cell>
        </row>
        <row r="20">
          <cell r="T20">
            <v>20</v>
          </cell>
        </row>
        <row r="21">
          <cell r="T21">
            <v>21</v>
          </cell>
        </row>
        <row r="22">
          <cell r="T22">
            <v>22</v>
          </cell>
        </row>
        <row r="23">
          <cell r="T23">
            <v>23</v>
          </cell>
        </row>
        <row r="24">
          <cell r="T24">
            <v>24</v>
          </cell>
        </row>
        <row r="25">
          <cell r="T25">
            <v>25</v>
          </cell>
        </row>
        <row r="26">
          <cell r="T26">
            <v>26</v>
          </cell>
        </row>
        <row r="27">
          <cell r="T27">
            <v>27</v>
          </cell>
        </row>
        <row r="28">
          <cell r="T28">
            <v>28</v>
          </cell>
        </row>
        <row r="29">
          <cell r="T29">
            <v>29</v>
          </cell>
        </row>
        <row r="30">
          <cell r="T30">
            <v>30</v>
          </cell>
        </row>
        <row r="31">
          <cell r="T31">
            <v>31</v>
          </cell>
        </row>
        <row r="32">
          <cell r="T32">
            <v>32</v>
          </cell>
        </row>
        <row r="33">
          <cell r="T33">
            <v>33</v>
          </cell>
        </row>
        <row r="34">
          <cell r="T34">
            <v>34</v>
          </cell>
        </row>
        <row r="35">
          <cell r="T35">
            <v>35</v>
          </cell>
        </row>
        <row r="36">
          <cell r="T36">
            <v>36</v>
          </cell>
        </row>
      </sheetData>
      <sheetData sheetId="7"/>
      <sheetData sheetId="8"/>
      <sheetData sheetId="9"/>
      <sheetData sheetId="10">
        <row r="10">
          <cell r="A10" t="str">
            <v>P1TC</v>
          </cell>
        </row>
        <row r="11">
          <cell r="A11" t="str">
            <v>P2TC</v>
          </cell>
        </row>
        <row r="12">
          <cell r="A12" t="str">
            <v>P3TC</v>
          </cell>
        </row>
        <row r="13">
          <cell r="A13" t="str">
            <v>P4TC</v>
          </cell>
        </row>
        <row r="14">
          <cell r="A14" t="str">
            <v>P5TC</v>
          </cell>
        </row>
        <row r="15">
          <cell r="A15" t="str">
            <v>P6TC</v>
          </cell>
        </row>
        <row r="16">
          <cell r="A16" t="str">
            <v>P7TC</v>
          </cell>
        </row>
        <row r="17">
          <cell r="A17" t="str">
            <v>P8TC</v>
          </cell>
        </row>
        <row r="18">
          <cell r="A18" t="str">
            <v>P9TC</v>
          </cell>
        </row>
        <row r="19">
          <cell r="A19" t="str">
            <v>P10TC</v>
          </cell>
        </row>
        <row r="20">
          <cell r="A20" t="str">
            <v>P11TC</v>
          </cell>
        </row>
        <row r="21">
          <cell r="A21" t="str">
            <v>P12TC</v>
          </cell>
        </row>
        <row r="22">
          <cell r="A22" t="str">
            <v>P13TC</v>
          </cell>
        </row>
        <row r="23">
          <cell r="A23" t="str">
            <v>P14TC</v>
          </cell>
        </row>
        <row r="24">
          <cell r="A24" t="str">
            <v>P15TC</v>
          </cell>
        </row>
        <row r="25">
          <cell r="A25" t="str">
            <v>P16TC</v>
          </cell>
        </row>
        <row r="26">
          <cell r="A26" t="str">
            <v>P17TC</v>
          </cell>
        </row>
        <row r="27">
          <cell r="A27" t="str">
            <v>P18TC</v>
          </cell>
        </row>
        <row r="28">
          <cell r="A28" t="str">
            <v>P19TC</v>
          </cell>
        </row>
        <row r="29">
          <cell r="A29" t="str">
            <v>P20TC</v>
          </cell>
        </row>
        <row r="30">
          <cell r="A30" t="str">
            <v>P21TC</v>
          </cell>
        </row>
        <row r="31">
          <cell r="A31" t="str">
            <v>P22TC</v>
          </cell>
        </row>
      </sheetData>
      <sheetData sheetId="11"/>
      <sheetData sheetId="12">
        <row r="4">
          <cell r="B4" t="str">
            <v>Belgique/Belgie - BE</v>
          </cell>
          <cell r="C4" t="str">
            <v>BE</v>
          </cell>
          <cell r="D4">
            <v>460</v>
          </cell>
          <cell r="E4">
            <v>360</v>
          </cell>
          <cell r="F4">
            <v>240</v>
          </cell>
          <cell r="G4">
            <v>214</v>
          </cell>
          <cell r="H4">
            <v>232</v>
          </cell>
        </row>
        <row r="5">
          <cell r="B5" t="str">
            <v>Bulgaria - BG</v>
          </cell>
          <cell r="C5" t="str">
            <v>BG</v>
          </cell>
          <cell r="D5">
            <v>67</v>
          </cell>
          <cell r="E5">
            <v>60</v>
          </cell>
          <cell r="F5">
            <v>46</v>
          </cell>
          <cell r="G5">
            <v>31</v>
          </cell>
          <cell r="H5">
            <v>145</v>
          </cell>
        </row>
        <row r="6">
          <cell r="B6" t="str">
            <v>Ceska Republika - CZ</v>
          </cell>
          <cell r="C6" t="str">
            <v>CZ</v>
          </cell>
          <cell r="D6">
            <v>134</v>
          </cell>
          <cell r="E6">
            <v>110</v>
          </cell>
          <cell r="F6">
            <v>80</v>
          </cell>
          <cell r="G6">
            <v>58</v>
          </cell>
          <cell r="H6">
            <v>195</v>
          </cell>
        </row>
        <row r="7">
          <cell r="B7" t="str">
            <v>Danmark - DK</v>
          </cell>
          <cell r="C7" t="str">
            <v>DK</v>
          </cell>
          <cell r="D7">
            <v>398</v>
          </cell>
          <cell r="E7">
            <v>340</v>
          </cell>
          <cell r="F7">
            <v>277</v>
          </cell>
          <cell r="G7">
            <v>217</v>
          </cell>
          <cell r="H7">
            <v>311</v>
          </cell>
        </row>
        <row r="8">
          <cell r="B8" t="str">
            <v>Deutschland - DE</v>
          </cell>
          <cell r="C8" t="str">
            <v>DE</v>
          </cell>
          <cell r="D8">
            <v>419</v>
          </cell>
          <cell r="E8">
            <v>310</v>
          </cell>
          <cell r="F8">
            <v>221</v>
          </cell>
          <cell r="G8">
            <v>203</v>
          </cell>
          <cell r="H8">
            <v>220</v>
          </cell>
        </row>
        <row r="9">
          <cell r="B9" t="str">
            <v>Eesti - EE</v>
          </cell>
          <cell r="C9" t="str">
            <v>EE</v>
          </cell>
          <cell r="D9">
            <v>102</v>
          </cell>
          <cell r="E9">
            <v>75</v>
          </cell>
          <cell r="F9">
            <v>59</v>
          </cell>
          <cell r="G9">
            <v>42</v>
          </cell>
          <cell r="H9">
            <v>175</v>
          </cell>
        </row>
        <row r="10">
          <cell r="B10" t="str">
            <v>Ellas - EL</v>
          </cell>
          <cell r="C10" t="str">
            <v>EL</v>
          </cell>
          <cell r="D10">
            <v>279</v>
          </cell>
          <cell r="E10">
            <v>218</v>
          </cell>
          <cell r="F10">
            <v>157</v>
          </cell>
          <cell r="G10">
            <v>122</v>
          </cell>
          <cell r="H10">
            <v>220</v>
          </cell>
        </row>
        <row r="11">
          <cell r="B11" t="str">
            <v>Espana - ES</v>
          </cell>
          <cell r="C11" t="str">
            <v>ES</v>
          </cell>
          <cell r="D11">
            <v>321</v>
          </cell>
          <cell r="E11">
            <v>212</v>
          </cell>
          <cell r="F11">
            <v>163</v>
          </cell>
          <cell r="G11">
            <v>117</v>
          </cell>
          <cell r="H11">
            <v>227</v>
          </cell>
        </row>
        <row r="12">
          <cell r="B12" t="str">
            <v>France - FR</v>
          </cell>
          <cell r="C12" t="str">
            <v>FR</v>
          </cell>
          <cell r="D12">
            <v>435</v>
          </cell>
          <cell r="E12">
            <v>351</v>
          </cell>
          <cell r="F12">
            <v>257</v>
          </cell>
          <cell r="G12">
            <v>193</v>
          </cell>
          <cell r="H12">
            <v>269</v>
          </cell>
        </row>
        <row r="13">
          <cell r="B13" t="str">
            <v>Ireland - IE</v>
          </cell>
          <cell r="C13" t="str">
            <v>IE</v>
          </cell>
          <cell r="D13">
            <v>309</v>
          </cell>
          <cell r="E13">
            <v>328</v>
          </cell>
          <cell r="F13">
            <v>239</v>
          </cell>
          <cell r="G13">
            <v>178</v>
          </cell>
          <cell r="H13">
            <v>253</v>
          </cell>
        </row>
        <row r="14">
          <cell r="B14" t="str">
            <v>Italia - IT</v>
          </cell>
          <cell r="C14" t="str">
            <v>IT</v>
          </cell>
          <cell r="D14">
            <v>454</v>
          </cell>
          <cell r="E14">
            <v>298</v>
          </cell>
          <cell r="F14">
            <v>200</v>
          </cell>
          <cell r="G14">
            <v>174</v>
          </cell>
          <cell r="H14">
            <v>247</v>
          </cell>
        </row>
        <row r="15">
          <cell r="B15" t="str">
            <v>Kypros - CY</v>
          </cell>
          <cell r="C15" t="str">
            <v>CY</v>
          </cell>
          <cell r="D15">
            <v>316</v>
          </cell>
          <cell r="E15">
            <v>235</v>
          </cell>
          <cell r="F15">
            <v>146</v>
          </cell>
          <cell r="G15">
            <v>99</v>
          </cell>
          <cell r="H15">
            <v>194</v>
          </cell>
        </row>
        <row r="16">
          <cell r="B16" t="str">
            <v>Latvija - LV</v>
          </cell>
          <cell r="C16" t="str">
            <v>LV</v>
          </cell>
          <cell r="D16">
            <v>81</v>
          </cell>
          <cell r="E16">
            <v>66</v>
          </cell>
          <cell r="F16">
            <v>52</v>
          </cell>
          <cell r="G16">
            <v>38</v>
          </cell>
          <cell r="H16">
            <v>172</v>
          </cell>
        </row>
        <row r="17">
          <cell r="B17" t="str">
            <v>Lithuania - LT</v>
          </cell>
          <cell r="C17" t="str">
            <v>LT</v>
          </cell>
          <cell r="D17">
            <v>75</v>
          </cell>
          <cell r="E17">
            <v>62</v>
          </cell>
          <cell r="F17">
            <v>47</v>
          </cell>
          <cell r="G17">
            <v>34</v>
          </cell>
          <cell r="H17">
            <v>168</v>
          </cell>
        </row>
        <row r="18">
          <cell r="B18" t="str">
            <v>Luxembourg - LU</v>
          </cell>
          <cell r="C18" t="str">
            <v>LU</v>
          </cell>
          <cell r="D18">
            <v>496</v>
          </cell>
          <cell r="E18">
            <v>349</v>
          </cell>
          <cell r="F18">
            <v>282</v>
          </cell>
          <cell r="G18">
            <v>220</v>
          </cell>
          <cell r="H18">
            <v>232</v>
          </cell>
        </row>
        <row r="19">
          <cell r="B19" t="str">
            <v>Magyarorszag - HU</v>
          </cell>
          <cell r="C19" t="str">
            <v>HU</v>
          </cell>
          <cell r="D19">
            <v>107</v>
          </cell>
          <cell r="E19">
            <v>86</v>
          </cell>
          <cell r="F19">
            <v>65</v>
          </cell>
          <cell r="G19">
            <v>44</v>
          </cell>
          <cell r="H19">
            <v>184</v>
          </cell>
        </row>
        <row r="20">
          <cell r="B20" t="str">
            <v>Malta - MT</v>
          </cell>
          <cell r="C20" t="str">
            <v>MT</v>
          </cell>
          <cell r="D20">
            <v>119</v>
          </cell>
          <cell r="E20">
            <v>99</v>
          </cell>
          <cell r="F20">
            <v>77</v>
          </cell>
          <cell r="G20">
            <v>58</v>
          </cell>
          <cell r="H20">
            <v>191</v>
          </cell>
        </row>
        <row r="21">
          <cell r="B21" t="str">
            <v>Nederland - NL</v>
          </cell>
          <cell r="C21" t="str">
            <v>NL</v>
          </cell>
          <cell r="D21">
            <v>310</v>
          </cell>
          <cell r="E21">
            <v>271</v>
          </cell>
          <cell r="F21">
            <v>215</v>
          </cell>
          <cell r="G21">
            <v>170</v>
          </cell>
          <cell r="H21">
            <v>242</v>
          </cell>
        </row>
        <row r="22">
          <cell r="B22" t="str">
            <v>Oesterreich - AT</v>
          </cell>
          <cell r="C22" t="str">
            <v>AT</v>
          </cell>
          <cell r="D22">
            <v>449</v>
          </cell>
          <cell r="E22">
            <v>302</v>
          </cell>
          <cell r="F22">
            <v>244</v>
          </cell>
          <cell r="G22">
            <v>194</v>
          </cell>
          <cell r="H22">
            <v>246</v>
          </cell>
        </row>
        <row r="23">
          <cell r="B23" t="str">
            <v>Polska - PL</v>
          </cell>
          <cell r="C23" t="str">
            <v>PL</v>
          </cell>
          <cell r="D23">
            <v>109</v>
          </cell>
          <cell r="E23">
            <v>86</v>
          </cell>
          <cell r="F23">
            <v>66</v>
          </cell>
          <cell r="G23">
            <v>49</v>
          </cell>
          <cell r="H23">
            <v>179</v>
          </cell>
        </row>
        <row r="24">
          <cell r="B24" t="str">
            <v>Portugal - PT</v>
          </cell>
          <cell r="C24" t="str">
            <v>PT</v>
          </cell>
          <cell r="D24">
            <v>258</v>
          </cell>
          <cell r="E24">
            <v>181</v>
          </cell>
          <cell r="F24">
            <v>122</v>
          </cell>
          <cell r="G24">
            <v>77</v>
          </cell>
          <cell r="H24">
            <v>197</v>
          </cell>
        </row>
        <row r="25">
          <cell r="B25" t="str">
            <v>Rumania - RO</v>
          </cell>
          <cell r="C25" t="str">
            <v>RO</v>
          </cell>
          <cell r="D25">
            <v>124</v>
          </cell>
          <cell r="E25">
            <v>95</v>
          </cell>
          <cell r="F25">
            <v>74</v>
          </cell>
          <cell r="G25">
            <v>47</v>
          </cell>
          <cell r="H25">
            <v>161</v>
          </cell>
        </row>
        <row r="26">
          <cell r="B26" t="str">
            <v>Slovenija - SI</v>
          </cell>
          <cell r="C26" t="str">
            <v>SI</v>
          </cell>
          <cell r="D26">
            <v>240</v>
          </cell>
          <cell r="E26">
            <v>182</v>
          </cell>
          <cell r="F26">
            <v>146</v>
          </cell>
          <cell r="G26">
            <v>92</v>
          </cell>
          <cell r="H26">
            <v>208</v>
          </cell>
        </row>
        <row r="27">
          <cell r="B27" t="str">
            <v>Slovensko - SK</v>
          </cell>
          <cell r="C27" t="str">
            <v>SK</v>
          </cell>
          <cell r="D27">
            <v>121</v>
          </cell>
          <cell r="E27">
            <v>98</v>
          </cell>
          <cell r="F27">
            <v>86</v>
          </cell>
          <cell r="G27">
            <v>70</v>
          </cell>
          <cell r="H27">
            <v>186</v>
          </cell>
        </row>
        <row r="28">
          <cell r="B28" t="str">
            <v>Suomi - FI</v>
          </cell>
          <cell r="C28" t="str">
            <v>FI</v>
          </cell>
          <cell r="D28">
            <v>368</v>
          </cell>
          <cell r="E28">
            <v>255</v>
          </cell>
          <cell r="F28">
            <v>196</v>
          </cell>
          <cell r="G28">
            <v>163</v>
          </cell>
          <cell r="H28">
            <v>277</v>
          </cell>
        </row>
        <row r="29">
          <cell r="B29" t="str">
            <v>Sverige - SE</v>
          </cell>
          <cell r="C29" t="str">
            <v>SE</v>
          </cell>
          <cell r="D29">
            <v>360</v>
          </cell>
          <cell r="E29">
            <v>303</v>
          </cell>
          <cell r="F29">
            <v>250</v>
          </cell>
          <cell r="G29">
            <v>192</v>
          </cell>
          <cell r="H29">
            <v>275</v>
          </cell>
        </row>
        <row r="30">
          <cell r="B30" t="str">
            <v>United Kingdom - UK</v>
          </cell>
          <cell r="C30" t="str">
            <v>GB</v>
          </cell>
          <cell r="D30">
            <v>355</v>
          </cell>
          <cell r="E30">
            <v>334</v>
          </cell>
          <cell r="F30">
            <v>231</v>
          </cell>
          <cell r="G30">
            <v>158</v>
          </cell>
          <cell r="H30">
            <v>312</v>
          </cell>
        </row>
        <row r="31">
          <cell r="B31" t="str">
            <v>Island - IS</v>
          </cell>
          <cell r="C31" t="str">
            <v>IS</v>
          </cell>
          <cell r="D31">
            <v>368</v>
          </cell>
          <cell r="E31">
            <v>335</v>
          </cell>
          <cell r="F31">
            <v>289</v>
          </cell>
          <cell r="G31">
            <v>186</v>
          </cell>
          <cell r="H31">
            <v>235</v>
          </cell>
        </row>
        <row r="32">
          <cell r="B32" t="str">
            <v>Liechtenstein - LI</v>
          </cell>
          <cell r="C32" t="str">
            <v>LI</v>
          </cell>
          <cell r="D32">
            <v>449</v>
          </cell>
          <cell r="E32">
            <v>302</v>
          </cell>
          <cell r="F32">
            <v>244</v>
          </cell>
          <cell r="G32">
            <v>194</v>
          </cell>
          <cell r="H32">
            <v>340</v>
          </cell>
        </row>
        <row r="33">
          <cell r="B33" t="str">
            <v>Norge - NO</v>
          </cell>
          <cell r="C33" t="str">
            <v>NO</v>
          </cell>
          <cell r="D33">
            <v>440</v>
          </cell>
          <cell r="E33">
            <v>367</v>
          </cell>
          <cell r="F33">
            <v>311</v>
          </cell>
          <cell r="G33">
            <v>239</v>
          </cell>
          <cell r="H33">
            <v>340</v>
          </cell>
        </row>
        <row r="34">
          <cell r="B34" t="str">
            <v>Schweiz / Suisse / Svizzera / Svizra - CH</v>
          </cell>
          <cell r="C34" t="str">
            <v>CH</v>
          </cell>
          <cell r="D34">
            <v>478</v>
          </cell>
          <cell r="E34">
            <v>354</v>
          </cell>
          <cell r="F34">
            <v>252</v>
          </cell>
          <cell r="G34">
            <v>232</v>
          </cell>
          <cell r="H34">
            <v>340</v>
          </cell>
        </row>
        <row r="35">
          <cell r="B35" t="str">
            <v>Hrvatska - HR</v>
          </cell>
          <cell r="C35" t="str">
            <v>HR</v>
          </cell>
          <cell r="D35">
            <v>213</v>
          </cell>
          <cell r="E35">
            <v>192</v>
          </cell>
          <cell r="F35">
            <v>154</v>
          </cell>
          <cell r="G35">
            <v>97</v>
          </cell>
          <cell r="H35">
            <v>214</v>
          </cell>
        </row>
        <row r="36">
          <cell r="B36" t="str">
            <v>Türkiye - TR</v>
          </cell>
          <cell r="C36" t="str">
            <v>TR</v>
          </cell>
          <cell r="D36">
            <v>141</v>
          </cell>
          <cell r="E36">
            <v>90</v>
          </cell>
          <cell r="F36">
            <v>59</v>
          </cell>
          <cell r="G36">
            <v>38</v>
          </cell>
          <cell r="H36">
            <v>190</v>
          </cell>
        </row>
        <row r="37">
          <cell r="B37" t="str">
            <v>Albania - AL</v>
          </cell>
          <cell r="C37" t="str">
            <v>AL</v>
          </cell>
          <cell r="D37">
            <v>31</v>
          </cell>
          <cell r="E37">
            <v>22</v>
          </cell>
          <cell r="F37">
            <v>18</v>
          </cell>
          <cell r="G37">
            <v>14</v>
          </cell>
          <cell r="H37">
            <v>171</v>
          </cell>
        </row>
        <row r="38">
          <cell r="B38" t="str">
            <v>Fyrom - FYR</v>
          </cell>
          <cell r="C38" t="str">
            <v>MK</v>
          </cell>
          <cell r="D38">
            <v>88</v>
          </cell>
          <cell r="E38">
            <v>64</v>
          </cell>
          <cell r="F38">
            <v>41</v>
          </cell>
          <cell r="G38">
            <v>31</v>
          </cell>
          <cell r="H38">
            <v>158</v>
          </cell>
        </row>
        <row r="39">
          <cell r="B39" t="str">
            <v>Serbia - SER</v>
          </cell>
          <cell r="C39" t="str">
            <v>RS</v>
          </cell>
          <cell r="D39">
            <v>96</v>
          </cell>
          <cell r="E39">
            <v>69</v>
          </cell>
          <cell r="F39">
            <v>45</v>
          </cell>
          <cell r="G39">
            <v>33</v>
          </cell>
          <cell r="H39">
            <v>154</v>
          </cell>
        </row>
        <row r="40">
          <cell r="B40" t="str">
            <v>Bosnia Herzegovina</v>
          </cell>
          <cell r="C40" t="str">
            <v>BA</v>
          </cell>
          <cell r="D40">
            <v>93</v>
          </cell>
          <cell r="E40">
            <v>67</v>
          </cell>
          <cell r="F40">
            <v>44</v>
          </cell>
          <cell r="G40">
            <v>32</v>
          </cell>
          <cell r="H40">
            <v>170</v>
          </cell>
        </row>
        <row r="41">
          <cell r="B41" t="str">
            <v>Montenegro</v>
          </cell>
          <cell r="C41" t="str">
            <v>ME</v>
          </cell>
          <cell r="D41">
            <v>94</v>
          </cell>
          <cell r="E41">
            <v>68</v>
          </cell>
          <cell r="F41">
            <v>44</v>
          </cell>
          <cell r="G41">
            <v>32</v>
          </cell>
          <cell r="H41">
            <v>158</v>
          </cell>
        </row>
        <row r="42">
          <cell r="B42" t="str">
            <v>AN Bonaire</v>
          </cell>
          <cell r="C42" t="str">
            <v>AN</v>
          </cell>
          <cell r="D42">
            <v>310</v>
          </cell>
          <cell r="E42">
            <v>271</v>
          </cell>
          <cell r="F42">
            <v>215</v>
          </cell>
          <cell r="G42">
            <v>170</v>
          </cell>
          <cell r="H42">
            <v>242</v>
          </cell>
        </row>
        <row r="43">
          <cell r="B43" t="str">
            <v>AN Curaçao</v>
          </cell>
          <cell r="C43" t="str">
            <v>AN</v>
          </cell>
          <cell r="D43">
            <v>310</v>
          </cell>
          <cell r="E43">
            <v>271</v>
          </cell>
          <cell r="F43">
            <v>215</v>
          </cell>
          <cell r="G43">
            <v>170</v>
          </cell>
          <cell r="H43">
            <v>242</v>
          </cell>
        </row>
        <row r="44">
          <cell r="B44" t="str">
            <v>AN Saba</v>
          </cell>
          <cell r="C44" t="str">
            <v>AN</v>
          </cell>
          <cell r="D44">
            <v>310</v>
          </cell>
          <cell r="E44">
            <v>271</v>
          </cell>
          <cell r="F44">
            <v>215</v>
          </cell>
          <cell r="G44">
            <v>170</v>
          </cell>
          <cell r="H44">
            <v>242</v>
          </cell>
        </row>
        <row r="45">
          <cell r="B45" t="str">
            <v>AN Saint Eustatius</v>
          </cell>
          <cell r="C45" t="str">
            <v>AN</v>
          </cell>
          <cell r="D45">
            <v>310</v>
          </cell>
          <cell r="E45">
            <v>271</v>
          </cell>
          <cell r="F45">
            <v>215</v>
          </cell>
          <cell r="G45">
            <v>170</v>
          </cell>
          <cell r="H45">
            <v>242</v>
          </cell>
        </row>
        <row r="46">
          <cell r="B46" t="str">
            <v>AN Saint Martin</v>
          </cell>
          <cell r="C46" t="str">
            <v>AN</v>
          </cell>
          <cell r="D46">
            <v>310</v>
          </cell>
          <cell r="E46">
            <v>271</v>
          </cell>
          <cell r="F46">
            <v>215</v>
          </cell>
          <cell r="G46">
            <v>170</v>
          </cell>
          <cell r="H46">
            <v>242</v>
          </cell>
        </row>
        <row r="47">
          <cell r="B47" t="str">
            <v xml:space="preserve">Anguilla </v>
          </cell>
          <cell r="C47" t="str">
            <v>AI</v>
          </cell>
          <cell r="D47">
            <v>355</v>
          </cell>
          <cell r="E47">
            <v>334</v>
          </cell>
          <cell r="F47">
            <v>231</v>
          </cell>
          <cell r="G47">
            <v>158</v>
          </cell>
          <cell r="H47">
            <v>312</v>
          </cell>
        </row>
        <row r="48">
          <cell r="B48" t="str">
            <v xml:space="preserve">Aruba </v>
          </cell>
          <cell r="C48" t="str">
            <v>AW</v>
          </cell>
          <cell r="D48">
            <v>310</v>
          </cell>
          <cell r="E48">
            <v>271</v>
          </cell>
          <cell r="F48">
            <v>215</v>
          </cell>
          <cell r="G48">
            <v>170</v>
          </cell>
          <cell r="H48">
            <v>242</v>
          </cell>
        </row>
        <row r="49">
          <cell r="B49" t="str">
            <v xml:space="preserve">British Indian Ocean Territory </v>
          </cell>
          <cell r="C49" t="str">
            <v>IO</v>
          </cell>
          <cell r="D49">
            <v>355</v>
          </cell>
          <cell r="E49">
            <v>334</v>
          </cell>
          <cell r="F49">
            <v>231</v>
          </cell>
          <cell r="G49">
            <v>158</v>
          </cell>
          <cell r="H49">
            <v>312</v>
          </cell>
        </row>
        <row r="50">
          <cell r="B50" t="str">
            <v xml:space="preserve">Cayman Islands </v>
          </cell>
          <cell r="C50" t="str">
            <v>KY</v>
          </cell>
          <cell r="D50">
            <v>355</v>
          </cell>
          <cell r="E50">
            <v>334</v>
          </cell>
          <cell r="F50">
            <v>231</v>
          </cell>
          <cell r="G50">
            <v>158</v>
          </cell>
          <cell r="H50">
            <v>312</v>
          </cell>
        </row>
        <row r="51">
          <cell r="B51" t="str">
            <v>Falkland Islands (Malvinas)</v>
          </cell>
          <cell r="C51" t="str">
            <v>FK</v>
          </cell>
          <cell r="D51">
            <v>355</v>
          </cell>
          <cell r="E51">
            <v>334</v>
          </cell>
          <cell r="F51">
            <v>231</v>
          </cell>
          <cell r="G51">
            <v>158</v>
          </cell>
          <cell r="H51">
            <v>312</v>
          </cell>
        </row>
        <row r="52">
          <cell r="B52" t="str">
            <v>French Polynesia</v>
          </cell>
          <cell r="C52" t="str">
            <v>PF</v>
          </cell>
          <cell r="D52">
            <v>435</v>
          </cell>
          <cell r="E52">
            <v>351</v>
          </cell>
          <cell r="F52">
            <v>257</v>
          </cell>
          <cell r="G52">
            <v>193</v>
          </cell>
          <cell r="H52">
            <v>269</v>
          </cell>
        </row>
        <row r="53">
          <cell r="B53" t="str">
            <v>French Southern and Antartic Territories</v>
          </cell>
          <cell r="C53" t="str">
            <v>TF</v>
          </cell>
          <cell r="D53">
            <v>435</v>
          </cell>
          <cell r="E53">
            <v>351</v>
          </cell>
          <cell r="F53">
            <v>257</v>
          </cell>
          <cell r="G53">
            <v>193</v>
          </cell>
          <cell r="H53">
            <v>269</v>
          </cell>
        </row>
        <row r="54">
          <cell r="B54" t="str">
            <v>Greenland</v>
          </cell>
          <cell r="C54" t="str">
            <v>GL</v>
          </cell>
          <cell r="D54">
            <v>398</v>
          </cell>
          <cell r="E54">
            <v>340</v>
          </cell>
          <cell r="F54">
            <v>277</v>
          </cell>
          <cell r="G54">
            <v>217</v>
          </cell>
          <cell r="H54">
            <v>311</v>
          </cell>
        </row>
        <row r="55">
          <cell r="B55" t="str">
            <v xml:space="preserve">Mayotte </v>
          </cell>
          <cell r="C55" t="str">
            <v>YT</v>
          </cell>
          <cell r="D55">
            <v>435</v>
          </cell>
          <cell r="E55">
            <v>351</v>
          </cell>
          <cell r="F55">
            <v>257</v>
          </cell>
          <cell r="G55">
            <v>193</v>
          </cell>
          <cell r="H55">
            <v>269</v>
          </cell>
        </row>
        <row r="56">
          <cell r="B56" t="str">
            <v xml:space="preserve">Montserrat </v>
          </cell>
          <cell r="C56" t="str">
            <v>MS</v>
          </cell>
          <cell r="D56">
            <v>355</v>
          </cell>
          <cell r="E56">
            <v>334</v>
          </cell>
          <cell r="F56">
            <v>231</v>
          </cell>
          <cell r="G56">
            <v>158</v>
          </cell>
          <cell r="H56">
            <v>312</v>
          </cell>
        </row>
        <row r="57">
          <cell r="B57" t="str">
            <v>New Caledonia and Dependencies</v>
          </cell>
          <cell r="C57" t="str">
            <v>NC</v>
          </cell>
          <cell r="D57">
            <v>435</v>
          </cell>
          <cell r="E57">
            <v>351</v>
          </cell>
          <cell r="F57">
            <v>257</v>
          </cell>
          <cell r="G57">
            <v>193</v>
          </cell>
          <cell r="H57">
            <v>269</v>
          </cell>
        </row>
        <row r="58">
          <cell r="B58" t="str">
            <v>Netherlands Antilles</v>
          </cell>
          <cell r="C58" t="str">
            <v>AN</v>
          </cell>
          <cell r="D58">
            <v>310</v>
          </cell>
          <cell r="E58">
            <v>271</v>
          </cell>
          <cell r="F58">
            <v>215</v>
          </cell>
          <cell r="G58">
            <v>170</v>
          </cell>
          <cell r="H58">
            <v>242</v>
          </cell>
        </row>
        <row r="59">
          <cell r="B59" t="str">
            <v>Pitcairn</v>
          </cell>
          <cell r="C59" t="str">
            <v>PN</v>
          </cell>
          <cell r="D59">
            <v>355</v>
          </cell>
          <cell r="E59">
            <v>334</v>
          </cell>
          <cell r="F59">
            <v>231</v>
          </cell>
          <cell r="G59">
            <v>158</v>
          </cell>
          <cell r="H59">
            <v>312</v>
          </cell>
        </row>
        <row r="60">
          <cell r="B60" t="str">
            <v xml:space="preserve">Saint Helena, Ascension Island, Tristan da Cunha </v>
          </cell>
          <cell r="C60" t="str">
            <v>SH</v>
          </cell>
          <cell r="D60">
            <v>355</v>
          </cell>
          <cell r="E60">
            <v>334</v>
          </cell>
          <cell r="F60">
            <v>231</v>
          </cell>
          <cell r="G60">
            <v>158</v>
          </cell>
          <cell r="H60">
            <v>312</v>
          </cell>
        </row>
        <row r="61">
          <cell r="B61" t="str">
            <v>British Antartic Territories</v>
          </cell>
          <cell r="C61" t="str">
            <v>BAT</v>
          </cell>
          <cell r="D61">
            <v>355</v>
          </cell>
          <cell r="E61">
            <v>334</v>
          </cell>
          <cell r="F61">
            <v>231</v>
          </cell>
          <cell r="G61">
            <v>158</v>
          </cell>
          <cell r="H61">
            <v>312</v>
          </cell>
        </row>
        <row r="62">
          <cell r="B62" t="str">
            <v xml:space="preserve">Saint Pierre And Miquelon </v>
          </cell>
          <cell r="C62" t="str">
            <v>PM</v>
          </cell>
          <cell r="D62">
            <v>435</v>
          </cell>
          <cell r="E62">
            <v>351</v>
          </cell>
          <cell r="F62">
            <v>257</v>
          </cell>
          <cell r="G62">
            <v>193</v>
          </cell>
          <cell r="H62">
            <v>269</v>
          </cell>
        </row>
        <row r="63">
          <cell r="B63" t="str">
            <v>South Georgia And The South Sandwich Islands</v>
          </cell>
          <cell r="C63" t="str">
            <v>GS</v>
          </cell>
          <cell r="D63">
            <v>355</v>
          </cell>
          <cell r="E63">
            <v>334</v>
          </cell>
          <cell r="F63">
            <v>231</v>
          </cell>
          <cell r="G63">
            <v>158</v>
          </cell>
          <cell r="H63">
            <v>312</v>
          </cell>
        </row>
        <row r="64">
          <cell r="B64" t="str">
            <v xml:space="preserve">Turks And Caicos Islands </v>
          </cell>
          <cell r="C64" t="str">
            <v>TC</v>
          </cell>
          <cell r="D64">
            <v>355</v>
          </cell>
          <cell r="E64">
            <v>334</v>
          </cell>
          <cell r="F64">
            <v>231</v>
          </cell>
          <cell r="G64">
            <v>158</v>
          </cell>
          <cell r="H64">
            <v>312</v>
          </cell>
        </row>
        <row r="65">
          <cell r="B65" t="str">
            <v>Virgin Islands, British</v>
          </cell>
          <cell r="C65" t="str">
            <v>VG</v>
          </cell>
          <cell r="D65">
            <v>355</v>
          </cell>
          <cell r="E65">
            <v>334</v>
          </cell>
          <cell r="F65">
            <v>231</v>
          </cell>
          <cell r="G65">
            <v>158</v>
          </cell>
          <cell r="H65">
            <v>312</v>
          </cell>
        </row>
        <row r="66">
          <cell r="B66" t="str">
            <v>Wallis and Futuna Islands</v>
          </cell>
          <cell r="C66" t="str">
            <v>WF</v>
          </cell>
          <cell r="D66">
            <v>435</v>
          </cell>
          <cell r="E66">
            <v>351</v>
          </cell>
          <cell r="F66">
            <v>257</v>
          </cell>
          <cell r="G66">
            <v>193</v>
          </cell>
          <cell r="H66">
            <v>269</v>
          </cell>
        </row>
        <row r="67">
          <cell r="B67" t="str">
            <v>Afghanistan</v>
          </cell>
          <cell r="C67" t="str">
            <v>AF</v>
          </cell>
          <cell r="D67">
            <v>450</v>
          </cell>
          <cell r="E67">
            <v>300</v>
          </cell>
          <cell r="F67">
            <v>250</v>
          </cell>
          <cell r="G67">
            <v>125</v>
          </cell>
          <cell r="H67">
            <v>225</v>
          </cell>
        </row>
        <row r="68">
          <cell r="B68" t="str">
            <v>Algeria</v>
          </cell>
          <cell r="C68" t="str">
            <v>DZ</v>
          </cell>
          <cell r="D68">
            <v>450</v>
          </cell>
          <cell r="E68">
            <v>300</v>
          </cell>
          <cell r="F68">
            <v>250</v>
          </cell>
          <cell r="G68">
            <v>125</v>
          </cell>
          <cell r="H68">
            <v>335</v>
          </cell>
        </row>
        <row r="69">
          <cell r="B69" t="str">
            <v>American Samoa</v>
          </cell>
          <cell r="C69" t="str">
            <v>AS</v>
          </cell>
          <cell r="D69">
            <v>450</v>
          </cell>
          <cell r="E69">
            <v>300</v>
          </cell>
          <cell r="F69">
            <v>250</v>
          </cell>
          <cell r="G69">
            <v>125</v>
          </cell>
          <cell r="H69">
            <v>192</v>
          </cell>
        </row>
        <row r="70">
          <cell r="B70" t="str">
            <v>Angola</v>
          </cell>
          <cell r="C70" t="str">
            <v>AO</v>
          </cell>
          <cell r="D70">
            <v>450</v>
          </cell>
          <cell r="E70">
            <v>300</v>
          </cell>
          <cell r="F70">
            <v>250</v>
          </cell>
          <cell r="G70">
            <v>125</v>
          </cell>
          <cell r="H70">
            <v>387</v>
          </cell>
        </row>
        <row r="71">
          <cell r="B71" t="str">
            <v>Antigua And Barbuda</v>
          </cell>
          <cell r="C71" t="str">
            <v>AG</v>
          </cell>
          <cell r="D71">
            <v>450</v>
          </cell>
          <cell r="E71">
            <v>300</v>
          </cell>
          <cell r="F71">
            <v>250</v>
          </cell>
          <cell r="G71">
            <v>125</v>
          </cell>
          <cell r="H71">
            <v>230</v>
          </cell>
        </row>
        <row r="72">
          <cell r="B72" t="str">
            <v>Argentina</v>
          </cell>
          <cell r="C72" t="str">
            <v>AR</v>
          </cell>
          <cell r="D72">
            <v>450</v>
          </cell>
          <cell r="E72">
            <v>300</v>
          </cell>
          <cell r="F72">
            <v>250</v>
          </cell>
          <cell r="G72">
            <v>125</v>
          </cell>
          <cell r="H72">
            <v>298</v>
          </cell>
        </row>
        <row r="73">
          <cell r="B73" t="str">
            <v>Armenia</v>
          </cell>
          <cell r="C73" t="str">
            <v>AM</v>
          </cell>
          <cell r="D73">
            <v>450</v>
          </cell>
          <cell r="E73">
            <v>300</v>
          </cell>
          <cell r="F73">
            <v>250</v>
          </cell>
          <cell r="G73">
            <v>125</v>
          </cell>
          <cell r="H73">
            <v>128</v>
          </cell>
        </row>
        <row r="74">
          <cell r="B74" t="str">
            <v>Australia</v>
          </cell>
          <cell r="C74" t="str">
            <v>AU</v>
          </cell>
          <cell r="D74">
            <v>450</v>
          </cell>
          <cell r="E74">
            <v>300</v>
          </cell>
          <cell r="F74">
            <v>250</v>
          </cell>
          <cell r="G74">
            <v>125</v>
          </cell>
          <cell r="H74">
            <v>280</v>
          </cell>
        </row>
        <row r="75">
          <cell r="B75" t="str">
            <v>Azerbaijan</v>
          </cell>
          <cell r="C75" t="str">
            <v>AZ</v>
          </cell>
          <cell r="D75">
            <v>450</v>
          </cell>
          <cell r="E75">
            <v>300</v>
          </cell>
          <cell r="F75">
            <v>250</v>
          </cell>
          <cell r="G75">
            <v>125</v>
          </cell>
          <cell r="H75">
            <v>310</v>
          </cell>
        </row>
        <row r="76">
          <cell r="B76" t="str">
            <v>Bahamas</v>
          </cell>
          <cell r="C76" t="str">
            <v>BS</v>
          </cell>
          <cell r="D76">
            <v>450</v>
          </cell>
          <cell r="E76">
            <v>300</v>
          </cell>
          <cell r="F76">
            <v>250</v>
          </cell>
          <cell r="G76">
            <v>125</v>
          </cell>
          <cell r="H76">
            <v>287</v>
          </cell>
        </row>
        <row r="77">
          <cell r="B77" t="str">
            <v>Bahrain</v>
          </cell>
          <cell r="C77" t="str">
            <v>BH</v>
          </cell>
          <cell r="D77">
            <v>450</v>
          </cell>
          <cell r="E77">
            <v>300</v>
          </cell>
          <cell r="F77">
            <v>250</v>
          </cell>
          <cell r="G77">
            <v>125</v>
          </cell>
          <cell r="H77">
            <v>279</v>
          </cell>
        </row>
        <row r="78">
          <cell r="B78" t="str">
            <v>Bangladesh</v>
          </cell>
          <cell r="C78" t="str">
            <v>BD</v>
          </cell>
          <cell r="D78">
            <v>450</v>
          </cell>
          <cell r="E78">
            <v>300</v>
          </cell>
          <cell r="F78">
            <v>250</v>
          </cell>
          <cell r="G78">
            <v>125</v>
          </cell>
          <cell r="H78">
            <v>201</v>
          </cell>
        </row>
        <row r="79">
          <cell r="B79" t="str">
            <v>Barbados</v>
          </cell>
          <cell r="C79" t="str">
            <v>BB</v>
          </cell>
          <cell r="D79">
            <v>450</v>
          </cell>
          <cell r="E79">
            <v>300</v>
          </cell>
          <cell r="F79">
            <v>250</v>
          </cell>
          <cell r="G79">
            <v>125</v>
          </cell>
          <cell r="H79">
            <v>302</v>
          </cell>
        </row>
        <row r="80">
          <cell r="B80" t="str">
            <v>Belarus</v>
          </cell>
          <cell r="C80" t="str">
            <v>BY</v>
          </cell>
          <cell r="D80">
            <v>450</v>
          </cell>
          <cell r="E80">
            <v>300</v>
          </cell>
          <cell r="F80">
            <v>250</v>
          </cell>
          <cell r="G80">
            <v>125</v>
          </cell>
          <cell r="H80">
            <v>205</v>
          </cell>
        </row>
        <row r="81">
          <cell r="B81" t="str">
            <v>Belize</v>
          </cell>
          <cell r="C81" t="str">
            <v>BZ</v>
          </cell>
          <cell r="D81">
            <v>450</v>
          </cell>
          <cell r="E81">
            <v>300</v>
          </cell>
          <cell r="F81">
            <v>250</v>
          </cell>
          <cell r="G81">
            <v>125</v>
          </cell>
          <cell r="H81">
            <v>213</v>
          </cell>
        </row>
        <row r="82">
          <cell r="B82" t="str">
            <v>Benin</v>
          </cell>
          <cell r="C82" t="str">
            <v>BJ</v>
          </cell>
          <cell r="D82">
            <v>450</v>
          </cell>
          <cell r="E82">
            <v>300</v>
          </cell>
          <cell r="F82">
            <v>250</v>
          </cell>
          <cell r="G82">
            <v>125</v>
          </cell>
          <cell r="H82">
            <v>184</v>
          </cell>
        </row>
        <row r="83">
          <cell r="B83" t="str">
            <v>Bhutan</v>
          </cell>
          <cell r="C83" t="str">
            <v>BT</v>
          </cell>
          <cell r="D83">
            <v>450</v>
          </cell>
          <cell r="E83">
            <v>300</v>
          </cell>
          <cell r="F83">
            <v>250</v>
          </cell>
          <cell r="G83">
            <v>125</v>
          </cell>
          <cell r="H83">
            <v>99</v>
          </cell>
        </row>
        <row r="84">
          <cell r="B84" t="str">
            <v>Bolivia, Plurinational State Of</v>
          </cell>
          <cell r="C84" t="str">
            <v>BO</v>
          </cell>
          <cell r="D84">
            <v>450</v>
          </cell>
          <cell r="E84">
            <v>300</v>
          </cell>
          <cell r="F84">
            <v>250</v>
          </cell>
          <cell r="G84">
            <v>125</v>
          </cell>
          <cell r="H84">
            <v>143</v>
          </cell>
        </row>
        <row r="85">
          <cell r="B85" t="str">
            <v>Botswana</v>
          </cell>
          <cell r="C85" t="str">
            <v>BW</v>
          </cell>
          <cell r="D85">
            <v>450</v>
          </cell>
          <cell r="E85">
            <v>300</v>
          </cell>
          <cell r="F85">
            <v>250</v>
          </cell>
          <cell r="G85">
            <v>125</v>
          </cell>
          <cell r="H85">
            <v>196</v>
          </cell>
        </row>
        <row r="86">
          <cell r="B86" t="str">
            <v>Brazil</v>
          </cell>
          <cell r="C86" t="str">
            <v>BR</v>
          </cell>
          <cell r="D86">
            <v>450</v>
          </cell>
          <cell r="E86">
            <v>300</v>
          </cell>
          <cell r="F86">
            <v>250</v>
          </cell>
          <cell r="G86">
            <v>125</v>
          </cell>
          <cell r="H86">
            <v>251</v>
          </cell>
        </row>
        <row r="87">
          <cell r="B87" t="str">
            <v>Brunei Darussalam</v>
          </cell>
          <cell r="C87" t="str">
            <v>BN</v>
          </cell>
          <cell r="D87">
            <v>450</v>
          </cell>
          <cell r="E87">
            <v>300</v>
          </cell>
          <cell r="F87">
            <v>250</v>
          </cell>
          <cell r="G87">
            <v>125</v>
          </cell>
          <cell r="H87">
            <v>177</v>
          </cell>
        </row>
        <row r="88">
          <cell r="B88" t="str">
            <v>Burkina Faso</v>
          </cell>
          <cell r="C88" t="str">
            <v>BF</v>
          </cell>
          <cell r="D88">
            <v>450</v>
          </cell>
          <cell r="E88">
            <v>300</v>
          </cell>
          <cell r="F88">
            <v>250</v>
          </cell>
          <cell r="G88">
            <v>125</v>
          </cell>
          <cell r="H88">
            <v>152</v>
          </cell>
        </row>
        <row r="89">
          <cell r="B89" t="str">
            <v>Burundi</v>
          </cell>
          <cell r="C89" t="str">
            <v>BI</v>
          </cell>
          <cell r="D89">
            <v>450</v>
          </cell>
          <cell r="E89">
            <v>300</v>
          </cell>
          <cell r="F89">
            <v>250</v>
          </cell>
          <cell r="G89">
            <v>125</v>
          </cell>
          <cell r="H89">
            <v>160</v>
          </cell>
        </row>
        <row r="90">
          <cell r="B90" t="str">
            <v>Cambodia</v>
          </cell>
          <cell r="C90" t="str">
            <v>KH</v>
          </cell>
          <cell r="D90">
            <v>450</v>
          </cell>
          <cell r="E90">
            <v>300</v>
          </cell>
          <cell r="F90">
            <v>250</v>
          </cell>
          <cell r="G90">
            <v>125</v>
          </cell>
          <cell r="H90">
            <v>178</v>
          </cell>
        </row>
        <row r="91">
          <cell r="B91" t="str">
            <v>Cameroon</v>
          </cell>
          <cell r="C91" t="str">
            <v>CM</v>
          </cell>
          <cell r="D91">
            <v>450</v>
          </cell>
          <cell r="E91">
            <v>300</v>
          </cell>
          <cell r="F91">
            <v>250</v>
          </cell>
          <cell r="G91">
            <v>125</v>
          </cell>
          <cell r="H91">
            <v>213</v>
          </cell>
        </row>
        <row r="92">
          <cell r="B92" t="str">
            <v>Canada</v>
          </cell>
          <cell r="C92" t="str">
            <v>CA</v>
          </cell>
          <cell r="D92">
            <v>450</v>
          </cell>
          <cell r="E92">
            <v>300</v>
          </cell>
          <cell r="F92">
            <v>250</v>
          </cell>
          <cell r="G92">
            <v>125</v>
          </cell>
          <cell r="H92">
            <v>265</v>
          </cell>
        </row>
        <row r="93">
          <cell r="B93" t="str">
            <v>Cape Verde</v>
          </cell>
          <cell r="C93" t="str">
            <v>CV</v>
          </cell>
          <cell r="D93">
            <v>450</v>
          </cell>
          <cell r="E93">
            <v>300</v>
          </cell>
          <cell r="F93">
            <v>250</v>
          </cell>
          <cell r="G93">
            <v>125</v>
          </cell>
          <cell r="H93">
            <v>194</v>
          </cell>
        </row>
        <row r="94">
          <cell r="B94" t="str">
            <v>Central African Republic</v>
          </cell>
          <cell r="C94" t="str">
            <v>CF</v>
          </cell>
          <cell r="D94">
            <v>450</v>
          </cell>
          <cell r="E94">
            <v>300</v>
          </cell>
          <cell r="F94">
            <v>250</v>
          </cell>
          <cell r="G94">
            <v>125</v>
          </cell>
          <cell r="H94">
            <v>126</v>
          </cell>
        </row>
        <row r="95">
          <cell r="B95" t="str">
            <v>Chad</v>
          </cell>
          <cell r="C95" t="str">
            <v>TD</v>
          </cell>
          <cell r="D95">
            <v>450</v>
          </cell>
          <cell r="E95">
            <v>300</v>
          </cell>
          <cell r="F95">
            <v>250</v>
          </cell>
          <cell r="G95">
            <v>125</v>
          </cell>
          <cell r="H95">
            <v>266</v>
          </cell>
        </row>
        <row r="96">
          <cell r="B96" t="str">
            <v>Chile</v>
          </cell>
          <cell r="C96" t="str">
            <v>CL</v>
          </cell>
          <cell r="D96">
            <v>450</v>
          </cell>
          <cell r="E96">
            <v>300</v>
          </cell>
          <cell r="F96">
            <v>250</v>
          </cell>
          <cell r="G96">
            <v>125</v>
          </cell>
          <cell r="H96">
            <v>191</v>
          </cell>
        </row>
        <row r="97">
          <cell r="B97" t="str">
            <v>China</v>
          </cell>
          <cell r="C97" t="str">
            <v>CN</v>
          </cell>
          <cell r="D97">
            <v>450</v>
          </cell>
          <cell r="E97">
            <v>300</v>
          </cell>
          <cell r="F97">
            <v>250</v>
          </cell>
          <cell r="G97">
            <v>125</v>
          </cell>
          <cell r="H97">
            <v>224</v>
          </cell>
        </row>
        <row r="98">
          <cell r="B98" t="str">
            <v>Colombia</v>
          </cell>
          <cell r="C98" t="str">
            <v>CO</v>
          </cell>
          <cell r="D98">
            <v>450</v>
          </cell>
          <cell r="E98">
            <v>300</v>
          </cell>
          <cell r="F98">
            <v>250</v>
          </cell>
          <cell r="G98">
            <v>125</v>
          </cell>
          <cell r="H98">
            <v>208</v>
          </cell>
        </row>
        <row r="99">
          <cell r="B99" t="str">
            <v>Comoros</v>
          </cell>
          <cell r="C99" t="str">
            <v>KM</v>
          </cell>
          <cell r="D99">
            <v>450</v>
          </cell>
          <cell r="E99">
            <v>300</v>
          </cell>
          <cell r="F99">
            <v>250</v>
          </cell>
          <cell r="G99">
            <v>125</v>
          </cell>
          <cell r="H99">
            <v>192</v>
          </cell>
        </row>
        <row r="100">
          <cell r="B100" t="str">
            <v>Congo</v>
          </cell>
          <cell r="C100" t="str">
            <v>CG</v>
          </cell>
          <cell r="D100">
            <v>450</v>
          </cell>
          <cell r="E100">
            <v>300</v>
          </cell>
          <cell r="F100">
            <v>250</v>
          </cell>
          <cell r="G100">
            <v>125</v>
          </cell>
          <cell r="H100">
            <v>220</v>
          </cell>
        </row>
        <row r="101">
          <cell r="B101" t="str">
            <v>Congo, The Democratic Republic Of The</v>
          </cell>
          <cell r="C101" t="str">
            <v>CD</v>
          </cell>
          <cell r="D101">
            <v>450</v>
          </cell>
          <cell r="E101">
            <v>300</v>
          </cell>
          <cell r="F101">
            <v>250</v>
          </cell>
          <cell r="G101">
            <v>125</v>
          </cell>
          <cell r="H101">
            <v>251</v>
          </cell>
        </row>
        <row r="102">
          <cell r="B102" t="str">
            <v>Cook Islands</v>
          </cell>
          <cell r="C102" t="str">
            <v>CK</v>
          </cell>
          <cell r="D102">
            <v>450</v>
          </cell>
          <cell r="E102">
            <v>300</v>
          </cell>
          <cell r="F102">
            <v>250</v>
          </cell>
          <cell r="G102">
            <v>125</v>
          </cell>
          <cell r="H102">
            <v>222</v>
          </cell>
        </row>
        <row r="103">
          <cell r="B103" t="str">
            <v>Costa Rica</v>
          </cell>
          <cell r="C103" t="str">
            <v>CR</v>
          </cell>
          <cell r="D103">
            <v>450</v>
          </cell>
          <cell r="E103">
            <v>300</v>
          </cell>
          <cell r="F103">
            <v>250</v>
          </cell>
          <cell r="G103">
            <v>125</v>
          </cell>
          <cell r="H103">
            <v>185</v>
          </cell>
        </row>
        <row r="104">
          <cell r="B104" t="str">
            <v>Côte D'ivoire</v>
          </cell>
          <cell r="C104" t="str">
            <v>CI</v>
          </cell>
          <cell r="D104">
            <v>450</v>
          </cell>
          <cell r="E104">
            <v>300</v>
          </cell>
          <cell r="F104">
            <v>250</v>
          </cell>
          <cell r="G104">
            <v>125</v>
          </cell>
          <cell r="H104">
            <v>271</v>
          </cell>
        </row>
        <row r="105">
          <cell r="B105" t="str">
            <v>Cuba</v>
          </cell>
          <cell r="C105" t="str">
            <v>CU</v>
          </cell>
          <cell r="D105">
            <v>450</v>
          </cell>
          <cell r="E105">
            <v>300</v>
          </cell>
          <cell r="F105">
            <v>250</v>
          </cell>
          <cell r="G105">
            <v>125</v>
          </cell>
          <cell r="H105">
            <v>168</v>
          </cell>
        </row>
        <row r="106">
          <cell r="B106" t="str">
            <v>Djibouti</v>
          </cell>
          <cell r="C106" t="str">
            <v>DJ</v>
          </cell>
          <cell r="D106">
            <v>450</v>
          </cell>
          <cell r="E106">
            <v>300</v>
          </cell>
          <cell r="F106">
            <v>250</v>
          </cell>
          <cell r="G106">
            <v>125</v>
          </cell>
          <cell r="H106">
            <v>186</v>
          </cell>
        </row>
        <row r="107">
          <cell r="B107" t="str">
            <v>Dominica</v>
          </cell>
          <cell r="C107" t="str">
            <v>DM</v>
          </cell>
          <cell r="D107">
            <v>450</v>
          </cell>
          <cell r="E107">
            <v>300</v>
          </cell>
          <cell r="F107">
            <v>250</v>
          </cell>
          <cell r="G107">
            <v>125</v>
          </cell>
          <cell r="H107">
            <v>170</v>
          </cell>
        </row>
        <row r="108">
          <cell r="B108" t="str">
            <v>Dominican Republic</v>
          </cell>
          <cell r="C108" t="str">
            <v>DO</v>
          </cell>
          <cell r="D108">
            <v>450</v>
          </cell>
          <cell r="E108">
            <v>300</v>
          </cell>
          <cell r="F108">
            <v>250</v>
          </cell>
          <cell r="G108">
            <v>125</v>
          </cell>
          <cell r="H108">
            <v>189</v>
          </cell>
        </row>
        <row r="109">
          <cell r="B109" t="str">
            <v>Ecuador</v>
          </cell>
          <cell r="C109" t="str">
            <v>EC</v>
          </cell>
          <cell r="D109">
            <v>450</v>
          </cell>
          <cell r="E109">
            <v>300</v>
          </cell>
          <cell r="F109">
            <v>250</v>
          </cell>
          <cell r="G109">
            <v>125</v>
          </cell>
          <cell r="H109">
            <v>159</v>
          </cell>
        </row>
        <row r="110">
          <cell r="B110" t="str">
            <v>Egypt</v>
          </cell>
          <cell r="C110" t="str">
            <v>EG</v>
          </cell>
          <cell r="D110">
            <v>450</v>
          </cell>
          <cell r="E110">
            <v>300</v>
          </cell>
          <cell r="F110">
            <v>250</v>
          </cell>
          <cell r="G110">
            <v>125</v>
          </cell>
          <cell r="H110">
            <v>236</v>
          </cell>
        </row>
        <row r="111">
          <cell r="B111" t="str">
            <v>El Salvador</v>
          </cell>
          <cell r="C111" t="str">
            <v>SV</v>
          </cell>
          <cell r="D111">
            <v>450</v>
          </cell>
          <cell r="E111">
            <v>300</v>
          </cell>
          <cell r="F111">
            <v>250</v>
          </cell>
          <cell r="G111">
            <v>125</v>
          </cell>
          <cell r="H111">
            <v>171</v>
          </cell>
        </row>
        <row r="112">
          <cell r="B112" t="str">
            <v>Equatorial Guinea</v>
          </cell>
          <cell r="C112" t="str">
            <v>GQ</v>
          </cell>
          <cell r="D112">
            <v>450</v>
          </cell>
          <cell r="E112">
            <v>300</v>
          </cell>
          <cell r="F112">
            <v>250</v>
          </cell>
          <cell r="G112">
            <v>125</v>
          </cell>
          <cell r="H112">
            <v>337</v>
          </cell>
        </row>
        <row r="113">
          <cell r="B113" t="str">
            <v>Eritrea</v>
          </cell>
          <cell r="C113" t="str">
            <v>ER</v>
          </cell>
          <cell r="D113">
            <v>450</v>
          </cell>
          <cell r="E113">
            <v>300</v>
          </cell>
          <cell r="F113">
            <v>250</v>
          </cell>
          <cell r="G113">
            <v>125</v>
          </cell>
          <cell r="H113">
            <v>159</v>
          </cell>
        </row>
        <row r="114">
          <cell r="B114" t="str">
            <v>Ethiopia</v>
          </cell>
          <cell r="C114" t="str">
            <v>ET</v>
          </cell>
          <cell r="D114">
            <v>450</v>
          </cell>
          <cell r="E114">
            <v>300</v>
          </cell>
          <cell r="F114">
            <v>250</v>
          </cell>
          <cell r="G114">
            <v>125</v>
          </cell>
          <cell r="H114">
            <v>263</v>
          </cell>
        </row>
        <row r="115">
          <cell r="B115" t="str">
            <v>Fiji</v>
          </cell>
          <cell r="C115" t="str">
            <v>FJ</v>
          </cell>
          <cell r="D115">
            <v>450</v>
          </cell>
          <cell r="E115">
            <v>300</v>
          </cell>
          <cell r="F115">
            <v>250</v>
          </cell>
          <cell r="G115">
            <v>125</v>
          </cell>
          <cell r="H115">
            <v>156</v>
          </cell>
        </row>
        <row r="116">
          <cell r="B116" t="str">
            <v>Gabon</v>
          </cell>
          <cell r="C116" t="str">
            <v>GA</v>
          </cell>
          <cell r="D116">
            <v>450</v>
          </cell>
          <cell r="E116">
            <v>300</v>
          </cell>
          <cell r="F116">
            <v>250</v>
          </cell>
          <cell r="G116">
            <v>125</v>
          </cell>
          <cell r="H116">
            <v>203</v>
          </cell>
        </row>
        <row r="117">
          <cell r="B117" t="str">
            <v>Gambia</v>
          </cell>
          <cell r="C117" t="str">
            <v>GM</v>
          </cell>
          <cell r="D117">
            <v>450</v>
          </cell>
          <cell r="E117">
            <v>300</v>
          </cell>
          <cell r="F117">
            <v>250</v>
          </cell>
          <cell r="G117">
            <v>125</v>
          </cell>
          <cell r="H117">
            <v>162</v>
          </cell>
        </row>
        <row r="118">
          <cell r="B118" t="str">
            <v>Georgia</v>
          </cell>
          <cell r="C118" t="str">
            <v>GE</v>
          </cell>
          <cell r="D118">
            <v>450</v>
          </cell>
          <cell r="E118">
            <v>300</v>
          </cell>
          <cell r="F118">
            <v>250</v>
          </cell>
          <cell r="G118">
            <v>125</v>
          </cell>
          <cell r="H118">
            <v>229</v>
          </cell>
        </row>
        <row r="119">
          <cell r="B119" t="str">
            <v>Ghana</v>
          </cell>
          <cell r="C119" t="str">
            <v>GH</v>
          </cell>
          <cell r="D119">
            <v>450</v>
          </cell>
          <cell r="E119">
            <v>300</v>
          </cell>
          <cell r="F119">
            <v>250</v>
          </cell>
          <cell r="G119">
            <v>125</v>
          </cell>
          <cell r="H119">
            <v>286</v>
          </cell>
        </row>
        <row r="120">
          <cell r="B120" t="str">
            <v>Grenada</v>
          </cell>
          <cell r="C120" t="str">
            <v>GD</v>
          </cell>
          <cell r="D120">
            <v>450</v>
          </cell>
          <cell r="E120">
            <v>300</v>
          </cell>
          <cell r="F120">
            <v>250</v>
          </cell>
          <cell r="G120">
            <v>125</v>
          </cell>
          <cell r="H120">
            <v>245</v>
          </cell>
        </row>
        <row r="121">
          <cell r="B121" t="str">
            <v>Guam</v>
          </cell>
          <cell r="C121" t="str">
            <v>GU</v>
          </cell>
          <cell r="D121">
            <v>450</v>
          </cell>
          <cell r="E121">
            <v>300</v>
          </cell>
          <cell r="F121">
            <v>250</v>
          </cell>
          <cell r="G121">
            <v>125</v>
          </cell>
          <cell r="H121">
            <v>254</v>
          </cell>
        </row>
        <row r="122">
          <cell r="B122" t="str">
            <v>Guatemala</v>
          </cell>
          <cell r="C122" t="str">
            <v>GT</v>
          </cell>
          <cell r="D122">
            <v>450</v>
          </cell>
          <cell r="E122">
            <v>300</v>
          </cell>
          <cell r="F122">
            <v>250</v>
          </cell>
          <cell r="G122">
            <v>125</v>
          </cell>
          <cell r="H122">
            <v>201</v>
          </cell>
        </row>
        <row r="123">
          <cell r="B123" t="str">
            <v>Guinea</v>
          </cell>
          <cell r="C123" t="str">
            <v>GN</v>
          </cell>
          <cell r="D123">
            <v>450</v>
          </cell>
          <cell r="E123">
            <v>300</v>
          </cell>
          <cell r="F123">
            <v>250</v>
          </cell>
          <cell r="G123">
            <v>125</v>
          </cell>
          <cell r="H123">
            <v>226</v>
          </cell>
        </row>
        <row r="124">
          <cell r="B124" t="str">
            <v>Guinea-Bissau</v>
          </cell>
          <cell r="C124" t="str">
            <v>GW</v>
          </cell>
          <cell r="D124">
            <v>450</v>
          </cell>
          <cell r="E124">
            <v>300</v>
          </cell>
          <cell r="F124">
            <v>250</v>
          </cell>
          <cell r="G124">
            <v>125</v>
          </cell>
          <cell r="H124">
            <v>191</v>
          </cell>
        </row>
        <row r="125">
          <cell r="B125" t="str">
            <v>Guyana</v>
          </cell>
          <cell r="C125" t="str">
            <v>GY</v>
          </cell>
          <cell r="D125">
            <v>450</v>
          </cell>
          <cell r="E125">
            <v>300</v>
          </cell>
          <cell r="F125">
            <v>250</v>
          </cell>
          <cell r="G125">
            <v>125</v>
          </cell>
          <cell r="H125">
            <v>173</v>
          </cell>
        </row>
        <row r="126">
          <cell r="B126" t="str">
            <v>Haiti</v>
          </cell>
          <cell r="C126" t="str">
            <v>HT</v>
          </cell>
          <cell r="D126">
            <v>450</v>
          </cell>
          <cell r="E126">
            <v>300</v>
          </cell>
          <cell r="F126">
            <v>250</v>
          </cell>
          <cell r="G126">
            <v>125</v>
          </cell>
          <cell r="H126">
            <v>222</v>
          </cell>
        </row>
        <row r="127">
          <cell r="B127" t="str">
            <v>Honduras</v>
          </cell>
          <cell r="C127" t="str">
            <v>HN</v>
          </cell>
          <cell r="D127">
            <v>450</v>
          </cell>
          <cell r="E127">
            <v>300</v>
          </cell>
          <cell r="F127">
            <v>250</v>
          </cell>
          <cell r="G127">
            <v>125</v>
          </cell>
          <cell r="H127">
            <v>168</v>
          </cell>
        </row>
        <row r="128">
          <cell r="B128" t="str">
            <v>Hong Kong</v>
          </cell>
          <cell r="C128" t="str">
            <v>HK</v>
          </cell>
          <cell r="D128">
            <v>450</v>
          </cell>
          <cell r="E128">
            <v>300</v>
          </cell>
          <cell r="F128">
            <v>250</v>
          </cell>
          <cell r="G128">
            <v>125</v>
          </cell>
          <cell r="H128">
            <v>316</v>
          </cell>
        </row>
        <row r="129">
          <cell r="B129" t="str">
            <v>India</v>
          </cell>
          <cell r="C129" t="str">
            <v>IN</v>
          </cell>
          <cell r="D129">
            <v>450</v>
          </cell>
          <cell r="E129">
            <v>300</v>
          </cell>
          <cell r="F129">
            <v>250</v>
          </cell>
          <cell r="G129">
            <v>125</v>
          </cell>
          <cell r="H129">
            <v>244</v>
          </cell>
        </row>
        <row r="130">
          <cell r="B130" t="str">
            <v>Indonesia</v>
          </cell>
          <cell r="C130" t="str">
            <v>ID</v>
          </cell>
          <cell r="D130">
            <v>450</v>
          </cell>
          <cell r="E130">
            <v>300</v>
          </cell>
          <cell r="F130">
            <v>250</v>
          </cell>
          <cell r="G130">
            <v>125</v>
          </cell>
          <cell r="H130">
            <v>190</v>
          </cell>
        </row>
        <row r="131">
          <cell r="B131" t="str">
            <v>Iran, Islamic Republic Of</v>
          </cell>
          <cell r="C131" t="str">
            <v>IR</v>
          </cell>
          <cell r="D131">
            <v>450</v>
          </cell>
          <cell r="E131">
            <v>300</v>
          </cell>
          <cell r="F131">
            <v>250</v>
          </cell>
          <cell r="G131">
            <v>125</v>
          </cell>
          <cell r="H131">
            <v>214</v>
          </cell>
        </row>
        <row r="132">
          <cell r="B132" t="str">
            <v>Iraq</v>
          </cell>
          <cell r="C132" t="str">
            <v>IQ</v>
          </cell>
          <cell r="D132">
            <v>450</v>
          </cell>
          <cell r="E132">
            <v>300</v>
          </cell>
          <cell r="F132">
            <v>250</v>
          </cell>
          <cell r="G132">
            <v>125</v>
          </cell>
          <cell r="H132">
            <v>288</v>
          </cell>
        </row>
        <row r="133">
          <cell r="B133" t="str">
            <v>Israel</v>
          </cell>
          <cell r="C133" t="str">
            <v>IL</v>
          </cell>
          <cell r="D133">
            <v>450</v>
          </cell>
          <cell r="E133">
            <v>300</v>
          </cell>
          <cell r="F133">
            <v>250</v>
          </cell>
          <cell r="G133">
            <v>125</v>
          </cell>
          <cell r="H133">
            <v>327</v>
          </cell>
        </row>
        <row r="134">
          <cell r="B134" t="str">
            <v>Jamaica</v>
          </cell>
          <cell r="C134" t="str">
            <v>JM</v>
          </cell>
          <cell r="D134">
            <v>450</v>
          </cell>
          <cell r="E134">
            <v>300</v>
          </cell>
          <cell r="F134">
            <v>250</v>
          </cell>
          <cell r="G134">
            <v>125</v>
          </cell>
          <cell r="H134">
            <v>213</v>
          </cell>
        </row>
        <row r="135">
          <cell r="B135" t="str">
            <v>Japan</v>
          </cell>
          <cell r="C135" t="str">
            <v>JP</v>
          </cell>
          <cell r="D135">
            <v>450</v>
          </cell>
          <cell r="E135">
            <v>300</v>
          </cell>
          <cell r="F135">
            <v>250</v>
          </cell>
          <cell r="G135">
            <v>125</v>
          </cell>
          <cell r="H135">
            <v>332</v>
          </cell>
        </row>
        <row r="136">
          <cell r="B136" t="str">
            <v>Jordan</v>
          </cell>
          <cell r="C136" t="str">
            <v>JO</v>
          </cell>
          <cell r="D136">
            <v>450</v>
          </cell>
          <cell r="E136">
            <v>300</v>
          </cell>
          <cell r="F136">
            <v>250</v>
          </cell>
          <cell r="G136">
            <v>125</v>
          </cell>
          <cell r="H136">
            <v>210</v>
          </cell>
        </row>
        <row r="137">
          <cell r="B137" t="str">
            <v>Kazakhstan</v>
          </cell>
          <cell r="C137" t="str">
            <v>KZ</v>
          </cell>
          <cell r="D137">
            <v>450</v>
          </cell>
          <cell r="E137">
            <v>300</v>
          </cell>
          <cell r="F137">
            <v>250</v>
          </cell>
          <cell r="G137">
            <v>125</v>
          </cell>
          <cell r="H137">
            <v>310</v>
          </cell>
        </row>
        <row r="138">
          <cell r="B138" t="str">
            <v>Kenya</v>
          </cell>
          <cell r="C138" t="str">
            <v>KE</v>
          </cell>
          <cell r="D138">
            <v>450</v>
          </cell>
          <cell r="E138">
            <v>300</v>
          </cell>
          <cell r="F138">
            <v>250</v>
          </cell>
          <cell r="G138">
            <v>125</v>
          </cell>
          <cell r="H138">
            <v>282</v>
          </cell>
        </row>
        <row r="139">
          <cell r="B139" t="str">
            <v>Kiribati</v>
          </cell>
          <cell r="C139" t="str">
            <v>KI</v>
          </cell>
          <cell r="D139">
            <v>450</v>
          </cell>
          <cell r="E139">
            <v>300</v>
          </cell>
          <cell r="F139">
            <v>250</v>
          </cell>
          <cell r="G139">
            <v>125</v>
          </cell>
          <cell r="H139">
            <v>235</v>
          </cell>
        </row>
        <row r="140">
          <cell r="B140" t="str">
            <v>Korea, Democratic People's Republic Of</v>
          </cell>
          <cell r="C140" t="str">
            <v>KP</v>
          </cell>
          <cell r="D140">
            <v>450</v>
          </cell>
          <cell r="E140">
            <v>300</v>
          </cell>
          <cell r="F140">
            <v>250</v>
          </cell>
          <cell r="G140">
            <v>125</v>
          </cell>
          <cell r="H140">
            <v>143</v>
          </cell>
        </row>
        <row r="141">
          <cell r="B141" t="str">
            <v>Korea, Republic Of</v>
          </cell>
          <cell r="C141" t="str">
            <v>KR</v>
          </cell>
          <cell r="D141">
            <v>450</v>
          </cell>
          <cell r="E141">
            <v>300</v>
          </cell>
          <cell r="F141">
            <v>250</v>
          </cell>
          <cell r="G141">
            <v>125</v>
          </cell>
          <cell r="H141">
            <v>297</v>
          </cell>
        </row>
        <row r="142">
          <cell r="B142" t="str">
            <v>Kuwait</v>
          </cell>
          <cell r="C142" t="str">
            <v>KW</v>
          </cell>
          <cell r="D142">
            <v>450</v>
          </cell>
          <cell r="E142">
            <v>300</v>
          </cell>
          <cell r="F142">
            <v>250</v>
          </cell>
          <cell r="G142">
            <v>125</v>
          </cell>
          <cell r="H142">
            <v>293</v>
          </cell>
        </row>
        <row r="143">
          <cell r="B143" t="str">
            <v>Kyrgyzstan</v>
          </cell>
          <cell r="C143" t="str">
            <v>KG</v>
          </cell>
          <cell r="D143">
            <v>450</v>
          </cell>
          <cell r="E143">
            <v>300</v>
          </cell>
          <cell r="F143">
            <v>250</v>
          </cell>
          <cell r="G143">
            <v>125</v>
          </cell>
          <cell r="H143">
            <v>381</v>
          </cell>
        </row>
        <row r="144">
          <cell r="B144" t="str">
            <v>Laos People's Democratic Republic</v>
          </cell>
          <cell r="C144" t="str">
            <v>LA</v>
          </cell>
          <cell r="D144">
            <v>450</v>
          </cell>
          <cell r="E144">
            <v>300</v>
          </cell>
          <cell r="F144">
            <v>250</v>
          </cell>
          <cell r="G144">
            <v>125</v>
          </cell>
          <cell r="H144">
            <v>157</v>
          </cell>
        </row>
        <row r="145">
          <cell r="B145" t="str">
            <v>Lebanon</v>
          </cell>
          <cell r="C145" t="str">
            <v>LB</v>
          </cell>
          <cell r="D145">
            <v>450</v>
          </cell>
          <cell r="E145">
            <v>300</v>
          </cell>
          <cell r="F145">
            <v>250</v>
          </cell>
          <cell r="G145">
            <v>125</v>
          </cell>
          <cell r="H145">
            <v>232</v>
          </cell>
        </row>
        <row r="146">
          <cell r="B146" t="str">
            <v>Lesotho</v>
          </cell>
          <cell r="C146" t="str">
            <v>LS</v>
          </cell>
          <cell r="D146">
            <v>450</v>
          </cell>
          <cell r="E146">
            <v>300</v>
          </cell>
          <cell r="F146">
            <v>250</v>
          </cell>
          <cell r="G146">
            <v>125</v>
          </cell>
          <cell r="H146">
            <v>126</v>
          </cell>
        </row>
        <row r="147">
          <cell r="B147" t="str">
            <v>Liberia</v>
          </cell>
          <cell r="C147" t="str">
            <v>LR</v>
          </cell>
          <cell r="D147">
            <v>450</v>
          </cell>
          <cell r="E147">
            <v>300</v>
          </cell>
          <cell r="F147">
            <v>250</v>
          </cell>
          <cell r="G147">
            <v>125</v>
          </cell>
          <cell r="H147">
            <v>196</v>
          </cell>
        </row>
        <row r="148">
          <cell r="B148" t="str">
            <v>Libyan Arab Jamahiriya</v>
          </cell>
          <cell r="C148" t="str">
            <v>LY</v>
          </cell>
          <cell r="D148">
            <v>450</v>
          </cell>
          <cell r="E148">
            <v>300</v>
          </cell>
          <cell r="F148">
            <v>250</v>
          </cell>
          <cell r="G148">
            <v>125</v>
          </cell>
          <cell r="H148">
            <v>169</v>
          </cell>
        </row>
        <row r="149">
          <cell r="B149" t="str">
            <v>Macao</v>
          </cell>
          <cell r="C149" t="str">
            <v>MO</v>
          </cell>
          <cell r="D149">
            <v>450</v>
          </cell>
          <cell r="E149">
            <v>300</v>
          </cell>
          <cell r="F149">
            <v>250</v>
          </cell>
          <cell r="G149">
            <v>125</v>
          </cell>
          <cell r="H149">
            <v>196</v>
          </cell>
        </row>
        <row r="150">
          <cell r="B150" t="str">
            <v>Madagascar</v>
          </cell>
          <cell r="C150" t="str">
            <v>MG</v>
          </cell>
          <cell r="D150">
            <v>450</v>
          </cell>
          <cell r="E150">
            <v>300</v>
          </cell>
          <cell r="F150">
            <v>250</v>
          </cell>
          <cell r="G150">
            <v>125</v>
          </cell>
          <cell r="H150">
            <v>196</v>
          </cell>
        </row>
        <row r="151">
          <cell r="B151" t="str">
            <v>Malawi</v>
          </cell>
          <cell r="C151" t="str">
            <v>MW</v>
          </cell>
          <cell r="D151">
            <v>450</v>
          </cell>
          <cell r="E151">
            <v>300</v>
          </cell>
          <cell r="F151">
            <v>250</v>
          </cell>
          <cell r="G151">
            <v>125</v>
          </cell>
          <cell r="H151">
            <v>209</v>
          </cell>
        </row>
        <row r="152">
          <cell r="B152" t="str">
            <v>Malaysia</v>
          </cell>
          <cell r="C152" t="str">
            <v>MY</v>
          </cell>
          <cell r="D152">
            <v>450</v>
          </cell>
          <cell r="E152">
            <v>300</v>
          </cell>
          <cell r="F152">
            <v>250</v>
          </cell>
          <cell r="G152">
            <v>125</v>
          </cell>
          <cell r="H152">
            <v>181</v>
          </cell>
        </row>
        <row r="153">
          <cell r="B153" t="str">
            <v>Maldives</v>
          </cell>
          <cell r="C153" t="str">
            <v>MV</v>
          </cell>
          <cell r="D153">
            <v>450</v>
          </cell>
          <cell r="E153">
            <v>300</v>
          </cell>
          <cell r="F153">
            <v>250</v>
          </cell>
          <cell r="G153">
            <v>125</v>
          </cell>
          <cell r="H153">
            <v>207</v>
          </cell>
        </row>
        <row r="154">
          <cell r="B154" t="str">
            <v>Mali</v>
          </cell>
          <cell r="C154" t="str">
            <v>ML</v>
          </cell>
          <cell r="D154">
            <v>450</v>
          </cell>
          <cell r="E154">
            <v>300</v>
          </cell>
          <cell r="F154">
            <v>250</v>
          </cell>
          <cell r="G154">
            <v>125</v>
          </cell>
          <cell r="H154">
            <v>228</v>
          </cell>
        </row>
        <row r="155">
          <cell r="B155" t="str">
            <v>Marshall Islands</v>
          </cell>
          <cell r="C155" t="str">
            <v>MH</v>
          </cell>
          <cell r="D155">
            <v>450</v>
          </cell>
          <cell r="E155">
            <v>300</v>
          </cell>
          <cell r="F155">
            <v>250</v>
          </cell>
          <cell r="G155">
            <v>125</v>
          </cell>
          <cell r="H155">
            <v>163</v>
          </cell>
        </row>
        <row r="156">
          <cell r="B156" t="str">
            <v>Mauritania</v>
          </cell>
          <cell r="C156" t="str">
            <v>MR</v>
          </cell>
          <cell r="D156">
            <v>450</v>
          </cell>
          <cell r="E156">
            <v>300</v>
          </cell>
          <cell r="F156">
            <v>250</v>
          </cell>
          <cell r="G156">
            <v>125</v>
          </cell>
          <cell r="H156">
            <v>137</v>
          </cell>
        </row>
        <row r="157">
          <cell r="B157" t="str">
            <v>Mauritius</v>
          </cell>
          <cell r="C157" t="str">
            <v>MU</v>
          </cell>
          <cell r="D157">
            <v>450</v>
          </cell>
          <cell r="E157">
            <v>300</v>
          </cell>
          <cell r="F157">
            <v>250</v>
          </cell>
          <cell r="G157">
            <v>125</v>
          </cell>
          <cell r="H157">
            <v>209</v>
          </cell>
        </row>
        <row r="158">
          <cell r="B158" t="str">
            <v>Mexico</v>
          </cell>
          <cell r="C158" t="str">
            <v>MX</v>
          </cell>
          <cell r="D158">
            <v>450</v>
          </cell>
          <cell r="E158">
            <v>300</v>
          </cell>
          <cell r="F158">
            <v>250</v>
          </cell>
          <cell r="G158">
            <v>125</v>
          </cell>
          <cell r="H158">
            <v>249</v>
          </cell>
        </row>
        <row r="159">
          <cell r="B159" t="str">
            <v>Micronesia, Federated States Of</v>
          </cell>
          <cell r="C159" t="str">
            <v>FM</v>
          </cell>
          <cell r="D159">
            <v>450</v>
          </cell>
          <cell r="E159">
            <v>300</v>
          </cell>
          <cell r="F159">
            <v>250</v>
          </cell>
          <cell r="G159">
            <v>125</v>
          </cell>
          <cell r="H159">
            <v>143</v>
          </cell>
        </row>
        <row r="160">
          <cell r="B160" t="str">
            <v>Moldova, Republic Of</v>
          </cell>
          <cell r="C160" t="str">
            <v>MD</v>
          </cell>
          <cell r="D160">
            <v>450</v>
          </cell>
          <cell r="E160">
            <v>300</v>
          </cell>
          <cell r="F160">
            <v>250</v>
          </cell>
          <cell r="G160">
            <v>125</v>
          </cell>
          <cell r="H160">
            <v>182</v>
          </cell>
        </row>
        <row r="161">
          <cell r="B161" t="str">
            <v>Monaco</v>
          </cell>
          <cell r="C161" t="str">
            <v>MC</v>
          </cell>
          <cell r="D161">
            <v>450</v>
          </cell>
          <cell r="E161">
            <v>300</v>
          </cell>
          <cell r="F161">
            <v>250</v>
          </cell>
          <cell r="G161">
            <v>125</v>
          </cell>
          <cell r="H161">
            <v>268</v>
          </cell>
        </row>
        <row r="162">
          <cell r="B162" t="str">
            <v>Mongolia</v>
          </cell>
          <cell r="C162" t="str">
            <v>MN</v>
          </cell>
          <cell r="D162">
            <v>450</v>
          </cell>
          <cell r="E162">
            <v>300</v>
          </cell>
          <cell r="F162">
            <v>250</v>
          </cell>
          <cell r="G162">
            <v>125</v>
          </cell>
          <cell r="H162">
            <v>164</v>
          </cell>
        </row>
        <row r="163">
          <cell r="B163" t="str">
            <v>Morocco</v>
          </cell>
          <cell r="C163" t="str">
            <v>MA</v>
          </cell>
          <cell r="D163">
            <v>450</v>
          </cell>
          <cell r="E163">
            <v>300</v>
          </cell>
          <cell r="F163">
            <v>250</v>
          </cell>
          <cell r="G163">
            <v>125</v>
          </cell>
          <cell r="H163">
            <v>180</v>
          </cell>
        </row>
        <row r="164">
          <cell r="B164" t="str">
            <v>Mozambique</v>
          </cell>
          <cell r="C164" t="str">
            <v>MZ</v>
          </cell>
          <cell r="D164">
            <v>450</v>
          </cell>
          <cell r="E164">
            <v>300</v>
          </cell>
          <cell r="F164">
            <v>250</v>
          </cell>
          <cell r="G164">
            <v>125</v>
          </cell>
          <cell r="H164">
            <v>197</v>
          </cell>
        </row>
        <row r="165">
          <cell r="B165" t="str">
            <v>Myanmar</v>
          </cell>
          <cell r="C165" t="str">
            <v>MM</v>
          </cell>
          <cell r="D165">
            <v>450</v>
          </cell>
          <cell r="E165">
            <v>300</v>
          </cell>
          <cell r="F165">
            <v>250</v>
          </cell>
          <cell r="G165">
            <v>125</v>
          </cell>
          <cell r="H165">
            <v>158</v>
          </cell>
        </row>
        <row r="166">
          <cell r="B166" t="str">
            <v>Namibia</v>
          </cell>
          <cell r="C166" t="str">
            <v>NA</v>
          </cell>
          <cell r="D166">
            <v>450</v>
          </cell>
          <cell r="E166">
            <v>300</v>
          </cell>
          <cell r="F166">
            <v>250</v>
          </cell>
          <cell r="G166">
            <v>125</v>
          </cell>
          <cell r="H166">
            <v>127</v>
          </cell>
        </row>
        <row r="167">
          <cell r="B167" t="str">
            <v>Nauru</v>
          </cell>
          <cell r="C167" t="str">
            <v>NR</v>
          </cell>
          <cell r="D167">
            <v>450</v>
          </cell>
          <cell r="E167">
            <v>300</v>
          </cell>
          <cell r="F167">
            <v>250</v>
          </cell>
          <cell r="G167">
            <v>125</v>
          </cell>
          <cell r="H167">
            <v>144</v>
          </cell>
        </row>
        <row r="168">
          <cell r="B168" t="str">
            <v>Nepal</v>
          </cell>
          <cell r="C168" t="str">
            <v>NP</v>
          </cell>
          <cell r="D168">
            <v>450</v>
          </cell>
          <cell r="E168">
            <v>300</v>
          </cell>
          <cell r="F168">
            <v>250</v>
          </cell>
          <cell r="G168">
            <v>125</v>
          </cell>
          <cell r="H168">
            <v>122</v>
          </cell>
        </row>
        <row r="169">
          <cell r="B169" t="str">
            <v>New Zealand</v>
          </cell>
          <cell r="C169" t="str">
            <v>NZ</v>
          </cell>
          <cell r="D169">
            <v>450</v>
          </cell>
          <cell r="E169">
            <v>300</v>
          </cell>
          <cell r="F169">
            <v>250</v>
          </cell>
          <cell r="G169">
            <v>125</v>
          </cell>
          <cell r="H169">
            <v>283</v>
          </cell>
        </row>
        <row r="170">
          <cell r="B170" t="str">
            <v>Nicaragua</v>
          </cell>
          <cell r="C170" t="str">
            <v>NI</v>
          </cell>
          <cell r="D170">
            <v>450</v>
          </cell>
          <cell r="E170">
            <v>300</v>
          </cell>
          <cell r="F170">
            <v>250</v>
          </cell>
          <cell r="G170">
            <v>125</v>
          </cell>
          <cell r="H170">
            <v>136</v>
          </cell>
        </row>
        <row r="171">
          <cell r="B171" t="str">
            <v>Niger</v>
          </cell>
          <cell r="C171" t="str">
            <v>NE</v>
          </cell>
          <cell r="D171">
            <v>450</v>
          </cell>
          <cell r="E171">
            <v>300</v>
          </cell>
          <cell r="F171">
            <v>250</v>
          </cell>
          <cell r="G171">
            <v>125</v>
          </cell>
          <cell r="H171">
            <v>180</v>
          </cell>
        </row>
        <row r="172">
          <cell r="B172" t="str">
            <v>Nigeria</v>
          </cell>
          <cell r="C172" t="str">
            <v>NG</v>
          </cell>
          <cell r="D172">
            <v>450</v>
          </cell>
          <cell r="E172">
            <v>300</v>
          </cell>
          <cell r="F172">
            <v>250</v>
          </cell>
          <cell r="G172">
            <v>125</v>
          </cell>
          <cell r="H172">
            <v>219</v>
          </cell>
        </row>
        <row r="173">
          <cell r="B173" t="str">
            <v>Niue</v>
          </cell>
          <cell r="C173" t="str">
            <v>NU</v>
          </cell>
          <cell r="D173">
            <v>450</v>
          </cell>
          <cell r="E173">
            <v>300</v>
          </cell>
          <cell r="F173">
            <v>250</v>
          </cell>
          <cell r="G173">
            <v>125</v>
          </cell>
          <cell r="H173">
            <v>128</v>
          </cell>
        </row>
        <row r="174">
          <cell r="B174" t="str">
            <v>Oman</v>
          </cell>
          <cell r="C174" t="str">
            <v>OM</v>
          </cell>
          <cell r="D174">
            <v>450</v>
          </cell>
          <cell r="E174">
            <v>300</v>
          </cell>
          <cell r="F174">
            <v>250</v>
          </cell>
          <cell r="G174">
            <v>125</v>
          </cell>
          <cell r="H174">
            <v>287</v>
          </cell>
        </row>
        <row r="175">
          <cell r="B175" t="str">
            <v>Pakistan</v>
          </cell>
          <cell r="C175" t="str">
            <v>PK</v>
          </cell>
          <cell r="D175">
            <v>450</v>
          </cell>
          <cell r="E175">
            <v>300</v>
          </cell>
          <cell r="F175">
            <v>250</v>
          </cell>
          <cell r="G175">
            <v>125</v>
          </cell>
          <cell r="H175">
            <v>167</v>
          </cell>
        </row>
        <row r="176">
          <cell r="B176" t="str">
            <v>Palau</v>
          </cell>
          <cell r="C176" t="str">
            <v>PW</v>
          </cell>
          <cell r="D176">
            <v>450</v>
          </cell>
          <cell r="E176">
            <v>300</v>
          </cell>
          <cell r="F176">
            <v>250</v>
          </cell>
          <cell r="G176">
            <v>125</v>
          </cell>
          <cell r="H176">
            <v>158</v>
          </cell>
        </row>
        <row r="177">
          <cell r="B177" t="str">
            <v>Panama</v>
          </cell>
          <cell r="C177" t="str">
            <v>PA</v>
          </cell>
          <cell r="D177">
            <v>450</v>
          </cell>
          <cell r="E177">
            <v>300</v>
          </cell>
          <cell r="F177">
            <v>250</v>
          </cell>
          <cell r="G177">
            <v>125</v>
          </cell>
          <cell r="H177">
            <v>193</v>
          </cell>
        </row>
        <row r="178">
          <cell r="B178" t="str">
            <v>Papua New Guinea</v>
          </cell>
          <cell r="C178" t="str">
            <v>PG</v>
          </cell>
          <cell r="D178">
            <v>450</v>
          </cell>
          <cell r="E178">
            <v>300</v>
          </cell>
          <cell r="F178">
            <v>250</v>
          </cell>
          <cell r="G178">
            <v>125</v>
          </cell>
          <cell r="H178">
            <v>427</v>
          </cell>
        </row>
        <row r="179">
          <cell r="B179" t="str">
            <v>Paraguay</v>
          </cell>
          <cell r="C179" t="str">
            <v>PY</v>
          </cell>
          <cell r="D179">
            <v>450</v>
          </cell>
          <cell r="E179">
            <v>300</v>
          </cell>
          <cell r="F179">
            <v>250</v>
          </cell>
          <cell r="G179">
            <v>125</v>
          </cell>
          <cell r="H179">
            <v>188</v>
          </cell>
        </row>
        <row r="180">
          <cell r="B180" t="str">
            <v>Peru</v>
          </cell>
          <cell r="C180" t="str">
            <v>PE</v>
          </cell>
          <cell r="D180">
            <v>450</v>
          </cell>
          <cell r="E180">
            <v>300</v>
          </cell>
          <cell r="F180">
            <v>250</v>
          </cell>
          <cell r="G180">
            <v>125</v>
          </cell>
          <cell r="H180">
            <v>178</v>
          </cell>
        </row>
        <row r="181">
          <cell r="B181" t="str">
            <v>Philippines</v>
          </cell>
          <cell r="C181" t="str">
            <v>PH</v>
          </cell>
          <cell r="D181">
            <v>450</v>
          </cell>
          <cell r="E181">
            <v>300</v>
          </cell>
          <cell r="F181">
            <v>250</v>
          </cell>
          <cell r="G181">
            <v>125</v>
          </cell>
          <cell r="H181">
            <v>188</v>
          </cell>
        </row>
        <row r="182">
          <cell r="B182" t="str">
            <v>Puerto Rico</v>
          </cell>
          <cell r="C182" t="str">
            <v>PR</v>
          </cell>
          <cell r="D182">
            <v>450</v>
          </cell>
          <cell r="E182">
            <v>300</v>
          </cell>
          <cell r="F182">
            <v>250</v>
          </cell>
          <cell r="G182">
            <v>125</v>
          </cell>
          <cell r="H182">
            <v>245</v>
          </cell>
        </row>
        <row r="183">
          <cell r="B183" t="str">
            <v>Qatar</v>
          </cell>
          <cell r="C183" t="str">
            <v>QA</v>
          </cell>
          <cell r="D183">
            <v>450</v>
          </cell>
          <cell r="E183">
            <v>300</v>
          </cell>
          <cell r="F183">
            <v>250</v>
          </cell>
          <cell r="G183">
            <v>125</v>
          </cell>
          <cell r="H183">
            <v>321</v>
          </cell>
        </row>
        <row r="184">
          <cell r="B184" t="str">
            <v>Russian Federation</v>
          </cell>
          <cell r="C184" t="str">
            <v>RU</v>
          </cell>
          <cell r="D184">
            <v>450</v>
          </cell>
          <cell r="E184">
            <v>300</v>
          </cell>
          <cell r="F184">
            <v>250</v>
          </cell>
          <cell r="G184">
            <v>125</v>
          </cell>
          <cell r="H184">
            <v>435</v>
          </cell>
        </row>
        <row r="185">
          <cell r="B185" t="str">
            <v>Rwanda</v>
          </cell>
          <cell r="C185" t="str">
            <v>RW</v>
          </cell>
          <cell r="D185">
            <v>450</v>
          </cell>
          <cell r="E185">
            <v>300</v>
          </cell>
          <cell r="F185">
            <v>250</v>
          </cell>
          <cell r="G185">
            <v>125</v>
          </cell>
          <cell r="H185">
            <v>248</v>
          </cell>
        </row>
        <row r="186">
          <cell r="B186" t="str">
            <v>Saint Kitts And Nevis</v>
          </cell>
          <cell r="C186" t="str">
            <v>KN</v>
          </cell>
          <cell r="D186">
            <v>450</v>
          </cell>
          <cell r="E186">
            <v>300</v>
          </cell>
          <cell r="F186">
            <v>250</v>
          </cell>
          <cell r="G186">
            <v>125</v>
          </cell>
          <cell r="H186">
            <v>206</v>
          </cell>
        </row>
        <row r="187">
          <cell r="B187" t="str">
            <v>Saint Lucia</v>
          </cell>
          <cell r="C187" t="str">
            <v>LC</v>
          </cell>
          <cell r="D187">
            <v>450</v>
          </cell>
          <cell r="E187">
            <v>300</v>
          </cell>
          <cell r="F187">
            <v>250</v>
          </cell>
          <cell r="G187">
            <v>125</v>
          </cell>
          <cell r="H187">
            <v>226</v>
          </cell>
        </row>
        <row r="188">
          <cell r="B188" t="str">
            <v>Saint Vincent And The Grenadines</v>
          </cell>
          <cell r="C188" t="str">
            <v>VC</v>
          </cell>
          <cell r="D188">
            <v>450</v>
          </cell>
          <cell r="E188">
            <v>300</v>
          </cell>
          <cell r="F188">
            <v>250</v>
          </cell>
          <cell r="G188">
            <v>125</v>
          </cell>
          <cell r="H188">
            <v>226</v>
          </cell>
        </row>
        <row r="189">
          <cell r="B189" t="str">
            <v>Samoa</v>
          </cell>
          <cell r="C189" t="str">
            <v>WS</v>
          </cell>
          <cell r="D189">
            <v>450</v>
          </cell>
          <cell r="E189">
            <v>300</v>
          </cell>
          <cell r="F189">
            <v>250</v>
          </cell>
          <cell r="G189">
            <v>125</v>
          </cell>
          <cell r="H189">
            <v>138</v>
          </cell>
        </row>
        <row r="190">
          <cell r="B190" t="str">
            <v>Sao Tome And Principe</v>
          </cell>
          <cell r="C190" t="str">
            <v>ST</v>
          </cell>
          <cell r="D190">
            <v>450</v>
          </cell>
          <cell r="E190">
            <v>300</v>
          </cell>
          <cell r="F190">
            <v>250</v>
          </cell>
          <cell r="G190">
            <v>125</v>
          </cell>
          <cell r="H190">
            <v>272</v>
          </cell>
        </row>
        <row r="191">
          <cell r="B191" t="str">
            <v>Saudi Arabia</v>
          </cell>
          <cell r="C191" t="str">
            <v>SA</v>
          </cell>
          <cell r="D191">
            <v>450</v>
          </cell>
          <cell r="E191">
            <v>300</v>
          </cell>
          <cell r="F191">
            <v>250</v>
          </cell>
          <cell r="G191">
            <v>125</v>
          </cell>
          <cell r="H191">
            <v>335</v>
          </cell>
        </row>
        <row r="192">
          <cell r="B192" t="str">
            <v>Senegal</v>
          </cell>
          <cell r="C192" t="str">
            <v>SN</v>
          </cell>
          <cell r="D192">
            <v>450</v>
          </cell>
          <cell r="E192">
            <v>300</v>
          </cell>
          <cell r="F192">
            <v>250</v>
          </cell>
          <cell r="G192">
            <v>125</v>
          </cell>
          <cell r="H192">
            <v>225</v>
          </cell>
        </row>
        <row r="193">
          <cell r="B193" t="str">
            <v>Seychelles</v>
          </cell>
          <cell r="C193" t="str">
            <v>SC</v>
          </cell>
          <cell r="D193">
            <v>450</v>
          </cell>
          <cell r="E193">
            <v>300</v>
          </cell>
          <cell r="F193">
            <v>250</v>
          </cell>
          <cell r="G193">
            <v>125</v>
          </cell>
          <cell r="H193">
            <v>261</v>
          </cell>
        </row>
        <row r="194">
          <cell r="B194" t="str">
            <v>Sierra Leone</v>
          </cell>
          <cell r="C194" t="str">
            <v>SL</v>
          </cell>
          <cell r="D194">
            <v>450</v>
          </cell>
          <cell r="E194">
            <v>300</v>
          </cell>
          <cell r="F194">
            <v>250</v>
          </cell>
          <cell r="G194">
            <v>125</v>
          </cell>
          <cell r="H194">
            <v>225</v>
          </cell>
        </row>
        <row r="195">
          <cell r="B195" t="str">
            <v>Singapore</v>
          </cell>
          <cell r="C195" t="str">
            <v>SG</v>
          </cell>
          <cell r="D195">
            <v>450</v>
          </cell>
          <cell r="E195">
            <v>300</v>
          </cell>
          <cell r="F195">
            <v>250</v>
          </cell>
          <cell r="G195">
            <v>125</v>
          </cell>
          <cell r="H195">
            <v>340</v>
          </cell>
        </row>
        <row r="196">
          <cell r="B196" t="str">
            <v>Solomon Islands</v>
          </cell>
          <cell r="C196" t="str">
            <v>SB</v>
          </cell>
          <cell r="D196">
            <v>450</v>
          </cell>
          <cell r="E196">
            <v>300</v>
          </cell>
          <cell r="F196">
            <v>250</v>
          </cell>
          <cell r="G196">
            <v>125</v>
          </cell>
          <cell r="H196">
            <v>151</v>
          </cell>
        </row>
        <row r="197">
          <cell r="B197" t="str">
            <v>Somalia</v>
          </cell>
          <cell r="C197" t="str">
            <v>SO</v>
          </cell>
          <cell r="D197">
            <v>450</v>
          </cell>
          <cell r="E197">
            <v>300</v>
          </cell>
          <cell r="F197">
            <v>250</v>
          </cell>
          <cell r="G197">
            <v>125</v>
          </cell>
          <cell r="H197">
            <v>118</v>
          </cell>
        </row>
        <row r="198">
          <cell r="B198" t="str">
            <v>South Africa</v>
          </cell>
          <cell r="C198" t="str">
            <v>ZA</v>
          </cell>
          <cell r="D198">
            <v>450</v>
          </cell>
          <cell r="E198">
            <v>300</v>
          </cell>
          <cell r="F198">
            <v>250</v>
          </cell>
          <cell r="G198">
            <v>125</v>
          </cell>
          <cell r="H198">
            <v>210</v>
          </cell>
        </row>
        <row r="199">
          <cell r="B199" t="str">
            <v>Sri Lanka</v>
          </cell>
          <cell r="C199" t="str">
            <v>LK</v>
          </cell>
          <cell r="D199">
            <v>450</v>
          </cell>
          <cell r="E199">
            <v>300</v>
          </cell>
          <cell r="F199">
            <v>250</v>
          </cell>
          <cell r="G199">
            <v>125</v>
          </cell>
          <cell r="H199">
            <v>158</v>
          </cell>
        </row>
        <row r="200">
          <cell r="B200" t="str">
            <v>Sudan</v>
          </cell>
          <cell r="C200" t="str">
            <v>SD</v>
          </cell>
          <cell r="D200">
            <v>450</v>
          </cell>
          <cell r="E200">
            <v>300</v>
          </cell>
          <cell r="F200">
            <v>250</v>
          </cell>
          <cell r="G200">
            <v>125</v>
          </cell>
          <cell r="H200">
            <v>214</v>
          </cell>
        </row>
        <row r="201">
          <cell r="B201" t="str">
            <v>Suriname</v>
          </cell>
          <cell r="C201" t="str">
            <v>SR</v>
          </cell>
          <cell r="D201">
            <v>450</v>
          </cell>
          <cell r="E201">
            <v>300</v>
          </cell>
          <cell r="F201">
            <v>250</v>
          </cell>
          <cell r="G201">
            <v>125</v>
          </cell>
          <cell r="H201">
            <v>158</v>
          </cell>
        </row>
        <row r="202">
          <cell r="B202" t="str">
            <v>Swaziland</v>
          </cell>
          <cell r="C202" t="str">
            <v>SZ</v>
          </cell>
          <cell r="D202">
            <v>450</v>
          </cell>
          <cell r="E202">
            <v>300</v>
          </cell>
          <cell r="F202">
            <v>250</v>
          </cell>
          <cell r="G202">
            <v>125</v>
          </cell>
          <cell r="H202">
            <v>175</v>
          </cell>
        </row>
        <row r="203">
          <cell r="B203" t="str">
            <v>Syrian Arab Republic</v>
          </cell>
          <cell r="C203" t="str">
            <v>SY</v>
          </cell>
          <cell r="D203">
            <v>450</v>
          </cell>
          <cell r="E203">
            <v>300</v>
          </cell>
          <cell r="F203">
            <v>250</v>
          </cell>
          <cell r="G203">
            <v>125</v>
          </cell>
          <cell r="H203">
            <v>271</v>
          </cell>
        </row>
        <row r="204">
          <cell r="B204" t="str">
            <v>Tajikistan</v>
          </cell>
          <cell r="C204" t="str">
            <v>TJ</v>
          </cell>
          <cell r="D204">
            <v>450</v>
          </cell>
          <cell r="E204">
            <v>300</v>
          </cell>
          <cell r="F204">
            <v>250</v>
          </cell>
          <cell r="G204">
            <v>125</v>
          </cell>
          <cell r="H204">
            <v>145</v>
          </cell>
        </row>
        <row r="205">
          <cell r="B205" t="str">
            <v>Tanzania, United Republic Of</v>
          </cell>
          <cell r="C205" t="str">
            <v>TZ</v>
          </cell>
          <cell r="D205">
            <v>450</v>
          </cell>
          <cell r="E205">
            <v>300</v>
          </cell>
          <cell r="F205">
            <v>250</v>
          </cell>
          <cell r="G205">
            <v>125</v>
          </cell>
          <cell r="H205">
            <v>229</v>
          </cell>
        </row>
        <row r="206">
          <cell r="B206" t="str">
            <v>Thailand</v>
          </cell>
          <cell r="C206" t="str">
            <v>TH</v>
          </cell>
          <cell r="D206">
            <v>450</v>
          </cell>
          <cell r="E206">
            <v>300</v>
          </cell>
          <cell r="F206">
            <v>250</v>
          </cell>
          <cell r="G206">
            <v>125</v>
          </cell>
          <cell r="H206">
            <v>176</v>
          </cell>
        </row>
        <row r="207">
          <cell r="B207" t="str">
            <v>Timor-Leste</v>
          </cell>
          <cell r="C207" t="str">
            <v>TL</v>
          </cell>
          <cell r="D207">
            <v>450</v>
          </cell>
          <cell r="E207">
            <v>300</v>
          </cell>
          <cell r="F207">
            <v>250</v>
          </cell>
          <cell r="G207">
            <v>125</v>
          </cell>
          <cell r="H207">
            <v>148</v>
          </cell>
        </row>
        <row r="208">
          <cell r="B208" t="str">
            <v>Togo</v>
          </cell>
          <cell r="C208" t="str">
            <v>TG</v>
          </cell>
          <cell r="D208">
            <v>450</v>
          </cell>
          <cell r="E208">
            <v>300</v>
          </cell>
          <cell r="F208">
            <v>250</v>
          </cell>
          <cell r="G208">
            <v>125</v>
          </cell>
          <cell r="H208">
            <v>176</v>
          </cell>
        </row>
        <row r="209">
          <cell r="B209" t="str">
            <v>Tokelau</v>
          </cell>
          <cell r="C209" t="str">
            <v>TK</v>
          </cell>
          <cell r="D209">
            <v>450</v>
          </cell>
          <cell r="E209">
            <v>300</v>
          </cell>
          <cell r="F209">
            <v>250</v>
          </cell>
          <cell r="G209">
            <v>125</v>
          </cell>
          <cell r="H209">
            <v>59</v>
          </cell>
        </row>
        <row r="210">
          <cell r="B210" t="str">
            <v>Tonga</v>
          </cell>
          <cell r="C210" t="str">
            <v>TO</v>
          </cell>
          <cell r="D210">
            <v>450</v>
          </cell>
          <cell r="E210">
            <v>300</v>
          </cell>
          <cell r="F210">
            <v>250</v>
          </cell>
          <cell r="G210">
            <v>125</v>
          </cell>
          <cell r="H210">
            <v>243</v>
          </cell>
        </row>
        <row r="211">
          <cell r="B211" t="str">
            <v>Trinidad And Tobago</v>
          </cell>
          <cell r="C211" t="str">
            <v>TT</v>
          </cell>
          <cell r="D211">
            <v>450</v>
          </cell>
          <cell r="E211">
            <v>300</v>
          </cell>
          <cell r="F211">
            <v>250</v>
          </cell>
          <cell r="G211">
            <v>125</v>
          </cell>
          <cell r="H211">
            <v>263</v>
          </cell>
        </row>
        <row r="212">
          <cell r="B212" t="str">
            <v>Tunisia</v>
          </cell>
          <cell r="C212" t="str">
            <v>TN</v>
          </cell>
          <cell r="D212">
            <v>450</v>
          </cell>
          <cell r="E212">
            <v>300</v>
          </cell>
          <cell r="F212">
            <v>250</v>
          </cell>
          <cell r="G212">
            <v>125</v>
          </cell>
          <cell r="H212">
            <v>172</v>
          </cell>
        </row>
        <row r="213">
          <cell r="B213" t="str">
            <v>Turkmenistan</v>
          </cell>
          <cell r="C213" t="str">
            <v>TM</v>
          </cell>
          <cell r="D213">
            <v>450</v>
          </cell>
          <cell r="E213">
            <v>300</v>
          </cell>
          <cell r="F213">
            <v>250</v>
          </cell>
          <cell r="G213">
            <v>125</v>
          </cell>
          <cell r="H213">
            <v>157</v>
          </cell>
        </row>
        <row r="214">
          <cell r="B214" t="str">
            <v>Tuvalu</v>
          </cell>
          <cell r="C214" t="str">
            <v>TV</v>
          </cell>
          <cell r="D214">
            <v>450</v>
          </cell>
          <cell r="E214">
            <v>300</v>
          </cell>
          <cell r="F214">
            <v>250</v>
          </cell>
          <cell r="G214">
            <v>125</v>
          </cell>
          <cell r="H214">
            <v>94</v>
          </cell>
        </row>
        <row r="215">
          <cell r="B215" t="str">
            <v>Uganda</v>
          </cell>
          <cell r="C215" t="str">
            <v>UG</v>
          </cell>
          <cell r="D215">
            <v>450</v>
          </cell>
          <cell r="E215">
            <v>300</v>
          </cell>
          <cell r="F215">
            <v>250</v>
          </cell>
          <cell r="G215">
            <v>125</v>
          </cell>
          <cell r="H215">
            <v>212</v>
          </cell>
        </row>
        <row r="216">
          <cell r="B216" t="str">
            <v>Ukraine</v>
          </cell>
          <cell r="C216" t="str">
            <v>UA</v>
          </cell>
          <cell r="D216">
            <v>450</v>
          </cell>
          <cell r="E216">
            <v>300</v>
          </cell>
          <cell r="F216">
            <v>250</v>
          </cell>
          <cell r="G216">
            <v>125</v>
          </cell>
          <cell r="H216">
            <v>334</v>
          </cell>
        </row>
        <row r="217">
          <cell r="B217" t="str">
            <v>United Arab Emirates</v>
          </cell>
          <cell r="C217" t="str">
            <v>AE</v>
          </cell>
          <cell r="D217">
            <v>450</v>
          </cell>
          <cell r="E217">
            <v>300</v>
          </cell>
          <cell r="F217">
            <v>250</v>
          </cell>
          <cell r="G217">
            <v>125</v>
          </cell>
          <cell r="H217">
            <v>275</v>
          </cell>
        </row>
        <row r="218">
          <cell r="B218" t="str">
            <v>United States of America</v>
          </cell>
          <cell r="C218" t="str">
            <v>US</v>
          </cell>
          <cell r="D218">
            <v>450</v>
          </cell>
          <cell r="E218">
            <v>300</v>
          </cell>
          <cell r="F218">
            <v>250</v>
          </cell>
          <cell r="G218">
            <v>125</v>
          </cell>
          <cell r="H218">
            <v>292</v>
          </cell>
        </row>
        <row r="219">
          <cell r="B219" t="str">
            <v>Uruguay</v>
          </cell>
          <cell r="C219" t="str">
            <v>UY</v>
          </cell>
          <cell r="D219">
            <v>450</v>
          </cell>
          <cell r="E219">
            <v>300</v>
          </cell>
          <cell r="F219">
            <v>250</v>
          </cell>
          <cell r="G219">
            <v>125</v>
          </cell>
          <cell r="H219">
            <v>222</v>
          </cell>
        </row>
        <row r="220">
          <cell r="B220" t="str">
            <v>Uzbekistan</v>
          </cell>
          <cell r="C220" t="str">
            <v>UZ</v>
          </cell>
          <cell r="D220">
            <v>450</v>
          </cell>
          <cell r="E220">
            <v>300</v>
          </cell>
          <cell r="F220">
            <v>250</v>
          </cell>
          <cell r="G220">
            <v>125</v>
          </cell>
          <cell r="H220">
            <v>209</v>
          </cell>
        </row>
        <row r="221">
          <cell r="B221" t="str">
            <v>Vanuatu</v>
          </cell>
          <cell r="C221" t="str">
            <v>VU</v>
          </cell>
          <cell r="D221">
            <v>450</v>
          </cell>
          <cell r="E221">
            <v>300</v>
          </cell>
          <cell r="F221">
            <v>250</v>
          </cell>
          <cell r="G221">
            <v>125</v>
          </cell>
          <cell r="H221">
            <v>211</v>
          </cell>
        </row>
        <row r="222">
          <cell r="B222" t="str">
            <v>Venezuela, Bolivarian Republic Of</v>
          </cell>
          <cell r="C222" t="str">
            <v>VE</v>
          </cell>
          <cell r="D222">
            <v>450</v>
          </cell>
          <cell r="E222">
            <v>300</v>
          </cell>
          <cell r="F222">
            <v>250</v>
          </cell>
          <cell r="G222">
            <v>125</v>
          </cell>
          <cell r="H222">
            <v>337</v>
          </cell>
        </row>
        <row r="223">
          <cell r="B223" t="str">
            <v>Viet Nam</v>
          </cell>
          <cell r="C223" t="str">
            <v>VN</v>
          </cell>
          <cell r="D223">
            <v>450</v>
          </cell>
          <cell r="E223">
            <v>300</v>
          </cell>
          <cell r="F223">
            <v>250</v>
          </cell>
          <cell r="G223">
            <v>125</v>
          </cell>
          <cell r="H223">
            <v>132</v>
          </cell>
        </row>
        <row r="224">
          <cell r="B224" t="str">
            <v>Virgin Islands, U.S.</v>
          </cell>
          <cell r="C224" t="str">
            <v>VI</v>
          </cell>
          <cell r="D224">
            <v>450</v>
          </cell>
          <cell r="E224">
            <v>300</v>
          </cell>
          <cell r="F224">
            <v>250</v>
          </cell>
          <cell r="G224">
            <v>125</v>
          </cell>
          <cell r="H224">
            <v>261</v>
          </cell>
        </row>
        <row r="225">
          <cell r="B225" t="str">
            <v>West Bank and Gaza Strip</v>
          </cell>
          <cell r="C225" t="str">
            <v>PS</v>
          </cell>
          <cell r="D225">
            <v>450</v>
          </cell>
          <cell r="E225">
            <v>300</v>
          </cell>
          <cell r="F225">
            <v>250</v>
          </cell>
          <cell r="G225">
            <v>125</v>
          </cell>
          <cell r="H225">
            <v>139</v>
          </cell>
        </row>
        <row r="226">
          <cell r="B226" t="str">
            <v>Yemen</v>
          </cell>
          <cell r="C226" t="str">
            <v>YE</v>
          </cell>
          <cell r="D226">
            <v>450</v>
          </cell>
          <cell r="E226">
            <v>300</v>
          </cell>
          <cell r="F226">
            <v>250</v>
          </cell>
          <cell r="G226">
            <v>125</v>
          </cell>
          <cell r="H226">
            <v>164</v>
          </cell>
        </row>
        <row r="227">
          <cell r="B227" t="str">
            <v>Zambia</v>
          </cell>
          <cell r="C227" t="str">
            <v>ZM</v>
          </cell>
          <cell r="D227">
            <v>450</v>
          </cell>
          <cell r="E227">
            <v>300</v>
          </cell>
          <cell r="F227">
            <v>250</v>
          </cell>
          <cell r="G227">
            <v>125</v>
          </cell>
          <cell r="H227">
            <v>230</v>
          </cell>
        </row>
        <row r="228">
          <cell r="B228" t="str">
            <v>Zimbabwe</v>
          </cell>
          <cell r="C228" t="str">
            <v>ZM</v>
          </cell>
          <cell r="D228">
            <v>450</v>
          </cell>
          <cell r="E228">
            <v>300</v>
          </cell>
          <cell r="F228">
            <v>250</v>
          </cell>
          <cell r="G228">
            <v>125</v>
          </cell>
          <cell r="H228">
            <v>141</v>
          </cell>
        </row>
        <row r="229">
          <cell r="B229" t="str">
            <v>Other</v>
          </cell>
          <cell r="C229" t="str">
            <v>OT</v>
          </cell>
          <cell r="D229">
            <v>450</v>
          </cell>
          <cell r="E229">
            <v>300</v>
          </cell>
          <cell r="F229">
            <v>250</v>
          </cell>
          <cell r="G229">
            <v>125</v>
          </cell>
          <cell r="H229">
            <v>200</v>
          </cell>
        </row>
      </sheetData>
      <sheetData sheetId="13">
        <row r="6">
          <cell r="A6" t="str">
            <v xml:space="preserve">Comenius Multilateral Projects </v>
          </cell>
        </row>
        <row r="7">
          <cell r="A7" t="str">
            <v xml:space="preserve">Comenius Multilateral Networks </v>
          </cell>
        </row>
        <row r="8">
          <cell r="A8" t="str">
            <v>Comenius Accompanying Measures</v>
          </cell>
        </row>
        <row r="9">
          <cell r="A9" t="str">
            <v>Erasmus Multilateral Projects (minimum duration 24 months)</v>
          </cell>
        </row>
        <row r="10">
          <cell r="A10" t="str">
            <v>Erasmus Multilateral Projects - Knowledge Alliances  (only 24 months, duration is fixed)</v>
          </cell>
        </row>
        <row r="11">
          <cell r="A11" t="str">
            <v xml:space="preserve">Erasmus Multilateral Networks </v>
          </cell>
        </row>
        <row r="12">
          <cell r="A12" t="str">
            <v>Erasmus Accompanying Measures</v>
          </cell>
        </row>
        <row r="13">
          <cell r="A13" t="str">
            <v xml:space="preserve">Leonardo da Vinci Multilateral Projects for Development of Innovation </v>
          </cell>
        </row>
        <row r="14">
          <cell r="A14" t="str">
            <v xml:space="preserve">Leonardo da Vinci Multilateral Networks </v>
          </cell>
        </row>
        <row r="15">
          <cell r="A15" t="str">
            <v>Leonardo da Vinci Accompanying Measures</v>
          </cell>
        </row>
        <row r="16">
          <cell r="A16" t="str">
            <v xml:space="preserve">Grundtvig Multilateral Projects </v>
          </cell>
        </row>
        <row r="17">
          <cell r="A17" t="str">
            <v xml:space="preserve">Grundtvig Multilateral Networks </v>
          </cell>
        </row>
        <row r="18">
          <cell r="A18" t="str">
            <v>Grundtvig Accompanying Measures</v>
          </cell>
        </row>
        <row r="19">
          <cell r="A19" t="str">
            <v xml:space="preserve">Key Activity 1 Roma Multilateral projects </v>
          </cell>
        </row>
        <row r="20">
          <cell r="A20" t="str">
            <v xml:space="preserve">Key Activity 1 Roma Networks </v>
          </cell>
        </row>
        <row r="21">
          <cell r="A21" t="str">
            <v xml:space="preserve">Key Activity 1 Multilateral Networks </v>
          </cell>
        </row>
        <row r="22">
          <cell r="A22" t="str">
            <v>Key Activity 2 Multilateral Projects</v>
          </cell>
        </row>
        <row r="23">
          <cell r="A23" t="str">
            <v>Key Activity 2 Multilateral Networks</v>
          </cell>
        </row>
        <row r="24">
          <cell r="A24" t="str">
            <v>Key Activity 2 Accompanying Measures</v>
          </cell>
        </row>
        <row r="25">
          <cell r="A25" t="str">
            <v>Key Activity 3 Multilateral Projects</v>
          </cell>
        </row>
        <row r="26">
          <cell r="A26" t="str">
            <v xml:space="preserve">Key Activity 3 Multilateral Networks </v>
          </cell>
        </row>
        <row r="27">
          <cell r="A27" t="str">
            <v>Key Activity 4 Multilateral Projects</v>
          </cell>
        </row>
      </sheetData>
      <sheetData sheetId="1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OMsRECEBIDAS"/>
      <sheetName val=" OMsAPROVADAS"/>
      <sheetName val="DADOS_PROG"/>
      <sheetName val="PROG PT"/>
      <sheetName val="OM REC"/>
      <sheetName val="PROG ATZDA"/>
      <sheetName val="DADOS_RDO"/>
      <sheetName val="CONF.HH"/>
      <sheetName val="prod"/>
      <sheetName val="esp"/>
      <sheetName val="FAT.SEMANAL"/>
      <sheetName val="RES.SEMANAL"/>
      <sheetName val="RES. RDO_NOVO"/>
      <sheetName val="FAT.ATIV."/>
      <sheetName val="FAT.ATIV. (2)"/>
      <sheetName val="PROV."/>
      <sheetName val="RES.PROV."/>
      <sheetName val="HISTOGRAMA"/>
      <sheetName val="EXT.HH"/>
      <sheetName val="RES.OMs"/>
      <sheetName val="EMR"/>
      <sheetName val="EMR2"/>
      <sheetName val="MARIANA"/>
      <sheetName val="AFC"/>
      <sheetName val="APRV OMs"/>
      <sheetName val="CONF BM"/>
      <sheetName val="FL ROSTO"/>
      <sheetName val="$MÉDIO"/>
      <sheetName val="oms bm12"/>
      <sheetName val="P LUCAS"/>
      <sheetName val="P PLAN FAT"/>
    </sheetNames>
    <sheetDataSet>
      <sheetData sheetId="0">
        <row r="5">
          <cell r="B5" t="str">
            <v>Montador Andaime</v>
          </cell>
        </row>
        <row r="6">
          <cell r="B6" t="str">
            <v>Pintor Industrial</v>
          </cell>
        </row>
        <row r="7">
          <cell r="B7" t="str">
            <v>Pintor Letrista</v>
          </cell>
        </row>
        <row r="8">
          <cell r="B8" t="str">
            <v>Isolador</v>
          </cell>
        </row>
        <row r="9">
          <cell r="B9" t="str">
            <v>Funileiro</v>
          </cell>
        </row>
        <row r="10">
          <cell r="B10" t="str">
            <v>Pedreiro</v>
          </cell>
        </row>
        <row r="11">
          <cell r="B11" t="str">
            <v>Carpinteiro</v>
          </cell>
        </row>
        <row r="12">
          <cell r="B12" t="str">
            <v>Supervisor de Qualidade</v>
          </cell>
        </row>
        <row r="13">
          <cell r="B13" t="str">
            <v>Inspetor de Qualidade</v>
          </cell>
        </row>
        <row r="14">
          <cell r="B14" t="str">
            <v>Encarregado</v>
          </cell>
        </row>
        <row r="15">
          <cell r="B15" t="str">
            <v>Técnico de Planejamento</v>
          </cell>
        </row>
        <row r="16">
          <cell r="B16" t="str">
            <v>Técnico de Segurança</v>
          </cell>
        </row>
        <row r="17">
          <cell r="B17" t="str">
            <v>Montador Andaime - H.E.</v>
          </cell>
        </row>
        <row r="18">
          <cell r="B18" t="str">
            <v>Pintor Industrial - H.E.</v>
          </cell>
        </row>
        <row r="19">
          <cell r="B19" t="str">
            <v>Pintor Letrista - H.E.</v>
          </cell>
        </row>
        <row r="20">
          <cell r="B20" t="str">
            <v>Isolador - H.E.</v>
          </cell>
        </row>
        <row r="21">
          <cell r="B21" t="str">
            <v>Funileiro - H.E.</v>
          </cell>
        </row>
        <row r="22">
          <cell r="B22" t="str">
            <v>Pedreiro - H.E.</v>
          </cell>
        </row>
        <row r="23">
          <cell r="B23" t="str">
            <v>Carpinteiro - H.E.</v>
          </cell>
        </row>
        <row r="24">
          <cell r="B24" t="str">
            <v>Supervisor de Qualidade - H.E.</v>
          </cell>
        </row>
        <row r="25">
          <cell r="B25" t="str">
            <v>Encarregado - H.E.</v>
          </cell>
        </row>
        <row r="26">
          <cell r="B26" t="str">
            <v>Técnico de Planejamento - H.E.</v>
          </cell>
        </row>
        <row r="27">
          <cell r="B27" t="str">
            <v>Técnico de Segurança - H.E.</v>
          </cell>
        </row>
        <row r="28">
          <cell r="B28" t="str">
            <v>Montador Andaime - A. N.</v>
          </cell>
        </row>
        <row r="29">
          <cell r="B29" t="str">
            <v>Pintor Industrial - A. N.</v>
          </cell>
        </row>
        <row r="30">
          <cell r="B30" t="str">
            <v>Pintor Letrista - A. N.</v>
          </cell>
        </row>
        <row r="31">
          <cell r="B31" t="str">
            <v>Isolador - A. N.</v>
          </cell>
        </row>
        <row r="32">
          <cell r="B32" t="str">
            <v>Funileiro - A. N.</v>
          </cell>
        </row>
        <row r="33">
          <cell r="B33" t="str">
            <v>Pedreiro - A. N.</v>
          </cell>
        </row>
        <row r="34">
          <cell r="B34" t="str">
            <v>Carpinteiro - A. N.</v>
          </cell>
        </row>
        <row r="35">
          <cell r="B35" t="str">
            <v>Supervisor de Qualidade - A. N.</v>
          </cell>
        </row>
        <row r="36">
          <cell r="B36" t="str">
            <v>Encarregado - A. N.</v>
          </cell>
        </row>
        <row r="37">
          <cell r="B37" t="str">
            <v>Técnico de Planejamento - A. N.</v>
          </cell>
        </row>
        <row r="38">
          <cell r="B38" t="str">
            <v>Técnico de Segurança - A. N.</v>
          </cell>
        </row>
        <row r="40">
          <cell r="B40" t="str">
            <v>FUNÇÃO</v>
          </cell>
        </row>
        <row r="42">
          <cell r="B42" t="str">
            <v>EQUIPE_ANDAIME</v>
          </cell>
        </row>
        <row r="43">
          <cell r="B43" t="str">
            <v>EQUIPE_CIVIL</v>
          </cell>
        </row>
        <row r="44">
          <cell r="B44" t="str">
            <v>EQUIPE_ISOLAMENTO</v>
          </cell>
        </row>
        <row r="45">
          <cell r="B45" t="str">
            <v>EQUIPE_PINTURA</v>
          </cell>
        </row>
        <row r="46">
          <cell r="B46" t="str">
            <v>TOTAL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Plan1"/>
      <sheetName val="EQUIPE"/>
      <sheetName val="RES.1"/>
      <sheetName val="DHT (2)"/>
      <sheetName val="DHT"/>
      <sheetName val="RESUMO"/>
    </sheetNames>
    <sheetDataSet>
      <sheetData sheetId="0">
        <row r="38">
          <cell r="B38" t="str">
            <v>#DIG.</v>
          </cell>
        </row>
        <row r="39">
          <cell r="B39" t="str">
            <v>APOIO</v>
          </cell>
        </row>
        <row r="40">
          <cell r="B40" t="str">
            <v>APOIO A-300</v>
          </cell>
        </row>
        <row r="41">
          <cell r="B41" t="str">
            <v>PAR. A-300</v>
          </cell>
        </row>
        <row r="42">
          <cell r="B42" t="str">
            <v>PAR. A-300_HH</v>
          </cell>
        </row>
        <row r="43">
          <cell r="B43" t="str">
            <v>BA-4102</v>
          </cell>
        </row>
        <row r="44">
          <cell r="B44" t="str">
            <v>BA-4102_HH</v>
          </cell>
        </row>
        <row r="45">
          <cell r="B45" t="str">
            <v>APOIO ADM</v>
          </cell>
        </row>
        <row r="46">
          <cell r="B46" t="str">
            <v>APOIO À CIVIL</v>
          </cell>
        </row>
        <row r="47">
          <cell r="B47" t="str">
            <v>APOIO CIVIL UO-II</v>
          </cell>
        </row>
        <row r="48">
          <cell r="B48" t="str">
            <v>ASE</v>
          </cell>
        </row>
        <row r="49">
          <cell r="B49" t="str">
            <v>BA-1103</v>
          </cell>
        </row>
        <row r="50">
          <cell r="B50" t="str">
            <v>BA-1101</v>
          </cell>
        </row>
        <row r="51">
          <cell r="B51" t="str">
            <v>BA-1101_HH</v>
          </cell>
        </row>
        <row r="52">
          <cell r="B52" t="str">
            <v>CENTRAL CAMAÇARI</v>
          </cell>
        </row>
        <row r="53">
          <cell r="B53" t="str">
            <v>DA-2351 B</v>
          </cell>
        </row>
        <row r="54">
          <cell r="B54" t="str">
            <v>DA-4406</v>
          </cell>
        </row>
        <row r="55">
          <cell r="B55" t="str">
            <v>DA-5208</v>
          </cell>
        </row>
        <row r="56">
          <cell r="B56" t="str">
            <v>DA-5258</v>
          </cell>
        </row>
        <row r="57">
          <cell r="B57" t="str">
            <v>A-2300</v>
          </cell>
        </row>
        <row r="58">
          <cell r="B58" t="str">
            <v>DEP</v>
          </cell>
        </row>
        <row r="59">
          <cell r="B59" t="str">
            <v>DTG</v>
          </cell>
        </row>
        <row r="60">
          <cell r="B60" t="str">
            <v>DTG FORNOS</v>
          </cell>
        </row>
        <row r="61">
          <cell r="B61" t="str">
            <v>DTG REC´s 2017</v>
          </cell>
        </row>
        <row r="62">
          <cell r="B62" t="str">
            <v>DTG REC´s 2018</v>
          </cell>
        </row>
        <row r="63">
          <cell r="B63" t="str">
            <v>DTG TIB</v>
          </cell>
        </row>
        <row r="64">
          <cell r="B64" t="str">
            <v>DTG UA</v>
          </cell>
        </row>
        <row r="65">
          <cell r="B65" t="str">
            <v>DTG UA-III</v>
          </cell>
        </row>
        <row r="66">
          <cell r="B66" t="str">
            <v>DTG UO</v>
          </cell>
        </row>
        <row r="67">
          <cell r="B67" t="str">
            <v>DTP ( FIBRAS )</v>
          </cell>
        </row>
        <row r="68">
          <cell r="B68" t="str">
            <v>EA-4501 A</v>
          </cell>
        </row>
        <row r="69">
          <cell r="B69" t="str">
            <v>EF-1900 B</v>
          </cell>
        </row>
        <row r="70">
          <cell r="B70" t="str">
            <v>EF-1900 I</v>
          </cell>
        </row>
        <row r="71">
          <cell r="B71" t="str">
            <v>EF-1900A</v>
          </cell>
        </row>
        <row r="72">
          <cell r="B72" t="str">
            <v>EF-1900B</v>
          </cell>
        </row>
        <row r="73">
          <cell r="B73" t="str">
            <v>EQUIPE TELHADO</v>
          </cell>
        </row>
        <row r="74">
          <cell r="B74" t="str">
            <v>EXTRA</v>
          </cell>
        </row>
        <row r="75">
          <cell r="B75" t="str">
            <v>FB-952 A</v>
          </cell>
        </row>
        <row r="76">
          <cell r="B76" t="str">
            <v>FB-952 A_MM</v>
          </cell>
        </row>
        <row r="77">
          <cell r="B77" t="str">
            <v>FB-952 B</v>
          </cell>
        </row>
        <row r="78">
          <cell r="B78" t="str">
            <v>FB-967</v>
          </cell>
        </row>
        <row r="79">
          <cell r="B79" t="str">
            <v>FB-966</v>
          </cell>
        </row>
        <row r="80">
          <cell r="B80" t="str">
            <v>FB-1002 X</v>
          </cell>
        </row>
        <row r="81">
          <cell r="B81" t="str">
            <v>FB-4061</v>
          </cell>
        </row>
        <row r="82">
          <cell r="B82" t="str">
            <v>FORNOS</v>
          </cell>
        </row>
        <row r="83">
          <cell r="B83" t="str">
            <v>GPA UA I</v>
          </cell>
        </row>
        <row r="84">
          <cell r="B84" t="str">
            <v>GPA UA II</v>
          </cell>
        </row>
        <row r="85">
          <cell r="B85" t="str">
            <v>GPA UO I</v>
          </cell>
        </row>
        <row r="86">
          <cell r="B86" t="str">
            <v>GPA UO II</v>
          </cell>
        </row>
        <row r="87">
          <cell r="B87" t="str">
            <v>GPA UTE</v>
          </cell>
        </row>
        <row r="88">
          <cell r="B88" t="str">
            <v>GV-5301 D</v>
          </cell>
        </row>
        <row r="89">
          <cell r="B89" t="str">
            <v>GV-5301 H_HH</v>
          </cell>
        </row>
        <row r="90">
          <cell r="B90" t="str">
            <v>GV-5301 D_HH</v>
          </cell>
        </row>
        <row r="91">
          <cell r="B91" t="str">
            <v>GV-5301 E</v>
          </cell>
        </row>
        <row r="92">
          <cell r="B92" t="str">
            <v>GV-5301 E_HH</v>
          </cell>
        </row>
        <row r="93">
          <cell r="B93" t="str">
            <v>GV-5301 H</v>
          </cell>
        </row>
        <row r="94">
          <cell r="B94" t="str">
            <v>INSP. CATÓDICA UO-I</v>
          </cell>
        </row>
        <row r="95">
          <cell r="B95" t="str">
            <v>INS-PARADA</v>
          </cell>
        </row>
        <row r="96">
          <cell r="B96" t="str">
            <v>INSPEÇÃO</v>
          </cell>
        </row>
        <row r="97">
          <cell r="B97" t="str">
            <v>INSPEÇÃO PRÉ-PARADA</v>
          </cell>
        </row>
        <row r="98">
          <cell r="B98" t="str">
            <v>ISOL. A-1000</v>
          </cell>
        </row>
        <row r="99">
          <cell r="B99" t="str">
            <v>LAB. UA-I</v>
          </cell>
        </row>
        <row r="100">
          <cell r="B100" t="str">
            <v>LINHA DE FACILIDADES</v>
          </cell>
        </row>
        <row r="101">
          <cell r="B101" t="str">
            <v>LINHA DE FW</v>
          </cell>
        </row>
        <row r="102">
          <cell r="B102" t="str">
            <v>LINHA DE V-15 EXTERNO</v>
          </cell>
        </row>
        <row r="103">
          <cell r="B103" t="str">
            <v>LINHA DE V-15 INTERNO</v>
          </cell>
        </row>
        <row r="104">
          <cell r="B104" t="str">
            <v>MB-5301G</v>
          </cell>
        </row>
        <row r="105">
          <cell r="B105" t="str">
            <v>NOTAS GM - EA-1142</v>
          </cell>
        </row>
        <row r="106">
          <cell r="B106" t="str">
            <v>NOTAS Z-3</v>
          </cell>
        </row>
        <row r="107">
          <cell r="B107" t="str">
            <v>PAR. UA-II 2018_HH</v>
          </cell>
        </row>
        <row r="108">
          <cell r="B108" t="str">
            <v>PARADA</v>
          </cell>
        </row>
        <row r="109">
          <cell r="B109" t="str">
            <v>PARADA (PJ)</v>
          </cell>
        </row>
        <row r="110">
          <cell r="B110" t="str">
            <v>PARADA UA-II 2018</v>
          </cell>
        </row>
        <row r="111">
          <cell r="B111" t="str">
            <v>PE-3</v>
          </cell>
        </row>
        <row r="112">
          <cell r="B112" t="str">
            <v>PIT STOP</v>
          </cell>
        </row>
        <row r="113">
          <cell r="B113" t="str">
            <v>PIT STOP A-350</v>
          </cell>
        </row>
        <row r="114">
          <cell r="B114" t="str">
            <v>PIT STOP A-5100</v>
          </cell>
        </row>
        <row r="115">
          <cell r="B115" t="str">
            <v>PIT STOP A-5200</v>
          </cell>
        </row>
        <row r="116">
          <cell r="B116" t="str">
            <v>PJ - A-1000</v>
          </cell>
        </row>
        <row r="117">
          <cell r="B117" t="str">
            <v>PJ - EA-4417</v>
          </cell>
        </row>
        <row r="118">
          <cell r="B118" t="str">
            <v>PJ A-1900</v>
          </cell>
        </row>
        <row r="119">
          <cell r="B119" t="str">
            <v>PJ A-300</v>
          </cell>
        </row>
        <row r="120">
          <cell r="B120" t="str">
            <v>PJ-EA-1501 A/B</v>
          </cell>
        </row>
        <row r="121">
          <cell r="B121" t="str">
            <v>PJ-EA-4417 A/B</v>
          </cell>
        </row>
        <row r="122">
          <cell r="B122" t="str">
            <v>PQ B-01</v>
          </cell>
        </row>
        <row r="123">
          <cell r="B123" t="str">
            <v>PQ B-02</v>
          </cell>
        </row>
        <row r="124">
          <cell r="B124" t="str">
            <v>PRÉ-PARADA</v>
          </cell>
        </row>
        <row r="125">
          <cell r="B125" t="str">
            <v>PROJ. A-1000</v>
          </cell>
        </row>
        <row r="126">
          <cell r="B126" t="str">
            <v>PT-10</v>
          </cell>
        </row>
        <row r="127">
          <cell r="B127" t="str">
            <v>REC´s 2017 FW/UA</v>
          </cell>
        </row>
        <row r="128">
          <cell r="B128" t="str">
            <v>REC´s 2017 FW/UO</v>
          </cell>
        </row>
        <row r="129">
          <cell r="B129" t="str">
            <v>REC´s 2017 TIB</v>
          </cell>
        </row>
        <row r="130">
          <cell r="B130" t="str">
            <v>REC´s 2017 UA-I</v>
          </cell>
        </row>
        <row r="131">
          <cell r="B131" t="str">
            <v>REC´s 2017 UA-II</v>
          </cell>
        </row>
        <row r="132">
          <cell r="B132" t="str">
            <v>REC´s 2017 UO</v>
          </cell>
        </row>
        <row r="133">
          <cell r="B133" t="str">
            <v>REC´s 2017 UA</v>
          </cell>
        </row>
        <row r="134">
          <cell r="B134" t="str">
            <v>REC´s 2017 UO-I</v>
          </cell>
        </row>
        <row r="135">
          <cell r="B135" t="str">
            <v>REC´s 2017 UO-II</v>
          </cell>
        </row>
        <row r="136">
          <cell r="B136" t="str">
            <v>REC´s 2017 UTE</v>
          </cell>
        </row>
        <row r="137">
          <cell r="B137" t="str">
            <v>REC´S ESPECIAIS</v>
          </cell>
        </row>
        <row r="138">
          <cell r="B138" t="str">
            <v>REC´s UO</v>
          </cell>
        </row>
        <row r="139">
          <cell r="B139" t="str">
            <v>REC´s UO I</v>
          </cell>
        </row>
        <row r="140">
          <cell r="B140" t="str">
            <v>REC-311335</v>
          </cell>
        </row>
        <row r="141">
          <cell r="B141" t="str">
            <v>REC-313736</v>
          </cell>
        </row>
        <row r="142">
          <cell r="B142" t="str">
            <v>RECs 2017</v>
          </cell>
        </row>
        <row r="143">
          <cell r="B143" t="str">
            <v>RECs UA II (ROT.)</v>
          </cell>
        </row>
        <row r="144">
          <cell r="B144" t="str">
            <v>REFEITÓRIO CENTRAL</v>
          </cell>
        </row>
        <row r="145">
          <cell r="B145" t="str">
            <v>REGENERAÇÃO</v>
          </cell>
        </row>
        <row r="146">
          <cell r="B146" t="str">
            <v>RMA 1</v>
          </cell>
        </row>
        <row r="147">
          <cell r="B147" t="str">
            <v>RMA 5</v>
          </cell>
        </row>
        <row r="148">
          <cell r="B148" t="str">
            <v>RMA 7</v>
          </cell>
        </row>
        <row r="149">
          <cell r="B149" t="str">
            <v>RMA HD</v>
          </cell>
        </row>
        <row r="150">
          <cell r="B150" t="str">
            <v>RMA HDC</v>
          </cell>
        </row>
        <row r="151">
          <cell r="B151" t="str">
            <v>RMA 7D</v>
          </cell>
        </row>
        <row r="152">
          <cell r="B152" t="str">
            <v>RMA 8</v>
          </cell>
        </row>
        <row r="153">
          <cell r="B153" t="str">
            <v>RMA 9</v>
          </cell>
        </row>
        <row r="154">
          <cell r="B154" t="str">
            <v>RMA 9 E</v>
          </cell>
        </row>
        <row r="155">
          <cell r="B155" t="str">
            <v>RMA 9 I</v>
          </cell>
        </row>
        <row r="156">
          <cell r="B156" t="str">
            <v>RMA 9 M</v>
          </cell>
        </row>
        <row r="157">
          <cell r="B157" t="str">
            <v>SF-6</v>
          </cell>
        </row>
        <row r="158">
          <cell r="B158" t="str">
            <v>STEAM TRACE</v>
          </cell>
        </row>
        <row r="159">
          <cell r="B159" t="str">
            <v>TANCAGEM</v>
          </cell>
        </row>
        <row r="160">
          <cell r="B160" t="str">
            <v>TECHBIOS</v>
          </cell>
        </row>
        <row r="161">
          <cell r="B161" t="str">
            <v>TG-5301 B</v>
          </cell>
        </row>
        <row r="162">
          <cell r="B162" t="str">
            <v>TG-5301-D</v>
          </cell>
        </row>
        <row r="163">
          <cell r="B163" t="str">
            <v>TROCADORES UO-I</v>
          </cell>
        </row>
        <row r="164">
          <cell r="B164" t="str">
            <v>TURNO DESLOCADO</v>
          </cell>
        </row>
        <row r="165">
          <cell r="B165" t="str">
            <v>TURNO PARADA</v>
          </cell>
        </row>
        <row r="166">
          <cell r="B166" t="str">
            <v>VAZAMENTOS UO-II</v>
          </cell>
        </row>
        <row r="167">
          <cell r="B167" t="str">
            <v>VENT´S &amp; DRENOS</v>
          </cell>
        </row>
        <row r="168">
          <cell r="B168" t="str">
            <v>FB-1029</v>
          </cell>
        </row>
        <row r="169">
          <cell r="B169" t="str">
            <v>PAR. REGUL. UA-I</v>
          </cell>
        </row>
        <row r="170">
          <cell r="B170" t="str">
            <v>REGENER. A-2300</v>
          </cell>
        </row>
        <row r="171">
          <cell r="B171" t="str">
            <v>PAR. REGUL. UA-I_HH</v>
          </cell>
        </row>
        <row r="172">
          <cell r="B172" t="str">
            <v>BKM ALAGOAS</v>
          </cell>
        </row>
        <row r="173">
          <cell r="B173" t="str">
            <v>DA-5201a04</v>
          </cell>
        </row>
        <row r="174">
          <cell r="B174" t="str">
            <v>INSP. UO-I PAR.2019</v>
          </cell>
        </row>
        <row r="175">
          <cell r="B175" t="str">
            <v>INSP. UTE PAR.2019</v>
          </cell>
        </row>
        <row r="176">
          <cell r="B176" t="str">
            <v>P-5301 C</v>
          </cell>
        </row>
        <row r="177">
          <cell r="B177" t="str">
            <v>P-5302 C</v>
          </cell>
        </row>
        <row r="178">
          <cell r="B178" t="str">
            <v>BA-4110</v>
          </cell>
        </row>
        <row r="179">
          <cell r="B179" t="str">
            <v>BA-4110_HH</v>
          </cell>
        </row>
        <row r="180">
          <cell r="B180" t="str">
            <v>BLACKOUT</v>
          </cell>
        </row>
        <row r="181">
          <cell r="B181" t="str">
            <v>EXTRA INSPEÇÃO</v>
          </cell>
        </row>
        <row r="182">
          <cell r="B182" t="str">
            <v>P-02B&amp;C</v>
          </cell>
        </row>
        <row r="183">
          <cell r="B183" t="str">
            <v>TUB. HID. SUL</v>
          </cell>
        </row>
        <row r="184">
          <cell r="B184" t="str">
            <v>D-5301A1&amp;A2</v>
          </cell>
        </row>
        <row r="185">
          <cell r="B185" t="str">
            <v>VAZAMENTOS UO-I</v>
          </cell>
        </row>
        <row r="186">
          <cell r="B186" t="str">
            <v>GB-5301</v>
          </cell>
        </row>
        <row r="187">
          <cell r="B187" t="str">
            <v>PLANO PINT. UTE</v>
          </cell>
        </row>
        <row r="188">
          <cell r="B188" t="str">
            <v>PLANO PINT. TUB. 9C</v>
          </cell>
        </row>
        <row r="189">
          <cell r="B189" t="str">
            <v>TUB. 9C (CALDEIRARIA)</v>
          </cell>
        </row>
        <row r="190">
          <cell r="B190" t="str">
            <v>TUB. 32C 2017 - DTG</v>
          </cell>
        </row>
        <row r="191">
          <cell r="B191" t="str">
            <v>BA-4101</v>
          </cell>
        </row>
        <row r="192">
          <cell r="B192" t="str">
            <v>BA-4101_HH</v>
          </cell>
        </row>
        <row r="193">
          <cell r="B193" t="str">
            <v>BA-1108</v>
          </cell>
        </row>
        <row r="194">
          <cell r="B194" t="str">
            <v>BA-1108_HH</v>
          </cell>
        </row>
        <row r="195">
          <cell r="B195" t="str">
            <v>BA-4106</v>
          </cell>
        </row>
        <row r="196">
          <cell r="B196" t="str">
            <v>BA-4106_HH</v>
          </cell>
        </row>
        <row r="197">
          <cell r="B197" t="str">
            <v>SSMA</v>
          </cell>
        </row>
        <row r="198">
          <cell r="B198" t="str">
            <v>PJ DEP - BA-4101</v>
          </cell>
        </row>
        <row r="199">
          <cell r="B199" t="str">
            <v>REC´s 2018 TIB</v>
          </cell>
        </row>
        <row r="200">
          <cell r="B200" t="str">
            <v>REC´s 2018 UO</v>
          </cell>
        </row>
        <row r="201">
          <cell r="B201" t="str">
            <v>REC´s 2018 UA</v>
          </cell>
        </row>
        <row r="202">
          <cell r="B202" t="str">
            <v>REC´s 2018 UTE</v>
          </cell>
        </row>
        <row r="203">
          <cell r="B203" t="str">
            <v>MB-5302A</v>
          </cell>
        </row>
        <row r="204">
          <cell r="B204" t="str">
            <v>PJ-0601157 (BA-4101)</v>
          </cell>
        </row>
        <row r="205">
          <cell r="B205" t="str">
            <v>PJ-0601179 (A-2300)</v>
          </cell>
        </row>
        <row r="206">
          <cell r="B206" t="str">
            <v>PJ-0601179 (A-2300)_HH</v>
          </cell>
        </row>
        <row r="207">
          <cell r="B207" t="str">
            <v>PJ-0601179 (A-300)</v>
          </cell>
        </row>
        <row r="208">
          <cell r="B208" t="str">
            <v>PJ-0600663 (SE-21)</v>
          </cell>
        </row>
        <row r="209">
          <cell r="B209" t="str">
            <v>PJ-06001147 (ILHA 6/9)_HH</v>
          </cell>
        </row>
        <row r="210">
          <cell r="B210" t="str">
            <v>PJ-06001147 (ILHA 6/9)</v>
          </cell>
        </row>
        <row r="211">
          <cell r="B211" t="str">
            <v>PJ-0600603 (FB's PTE)</v>
          </cell>
        </row>
        <row r="212">
          <cell r="B212" t="str">
            <v>PJ-0600603 (FB's PTE)_HH</v>
          </cell>
        </row>
        <row r="213">
          <cell r="B213" t="str">
            <v>PJ-0601175 (TEGAL)</v>
          </cell>
        </row>
        <row r="214">
          <cell r="B214" t="str">
            <v>PJ-0601035 (TEGAL)</v>
          </cell>
        </row>
        <row r="215">
          <cell r="B215" t="str">
            <v>PJ-0600952 (UTE)</v>
          </cell>
        </row>
        <row r="216">
          <cell r="B216" t="str">
            <v>PJ-0601717 (UTE)</v>
          </cell>
        </row>
        <row r="217">
          <cell r="B217" t="str">
            <v>PJ-0601717 (UTE)_HH</v>
          </cell>
        </row>
        <row r="218">
          <cell r="B218" t="str">
            <v>PJ-0601019 (A-2350)</v>
          </cell>
        </row>
        <row r="219">
          <cell r="B219" t="str">
            <v>PJ-0601158 (A-1900)</v>
          </cell>
        </row>
        <row r="220">
          <cell r="B220" t="str">
            <v>PJ-0600478 (A-2300)</v>
          </cell>
        </row>
        <row r="221">
          <cell r="B221" t="str">
            <v>GV-5301 B</v>
          </cell>
        </row>
        <row r="222">
          <cell r="B222" t="str">
            <v>GV-5301 B_HH</v>
          </cell>
        </row>
        <row r="223">
          <cell r="B223" t="str">
            <v>PJ-0600782 (DA-4104)</v>
          </cell>
        </row>
        <row r="224">
          <cell r="B224" t="str">
            <v>DTG A-1000</v>
          </cell>
        </row>
        <row r="225">
          <cell r="B225" t="str">
            <v>DTG A-1000_HH</v>
          </cell>
        </row>
        <row r="226">
          <cell r="B226" t="str">
            <v>A-350</v>
          </cell>
        </row>
        <row r="227">
          <cell r="B227" t="str">
            <v>PLANTÃO</v>
          </cell>
        </row>
        <row r="228">
          <cell r="B228" t="str">
            <v>DA-4103</v>
          </cell>
        </row>
        <row r="229">
          <cell r="B229" t="str">
            <v>CXS CD/OD</v>
          </cell>
        </row>
        <row r="230">
          <cell r="B230" t="str">
            <v>ELÉTRICA</v>
          </cell>
        </row>
        <row r="231">
          <cell r="B231" t="str">
            <v>PAR. A-350</v>
          </cell>
        </row>
        <row r="232">
          <cell r="B232" t="str">
            <v>FB-1009</v>
          </cell>
        </row>
        <row r="233">
          <cell r="B233" t="str">
            <v>FB-963 A</v>
          </cell>
        </row>
        <row r="234">
          <cell r="B234" t="str">
            <v>LINHA FW</v>
          </cell>
        </row>
        <row r="235">
          <cell r="B235" t="str">
            <v>BA-1104 (BARREIRAS)</v>
          </cell>
        </row>
        <row r="236">
          <cell r="B236" t="str">
            <v>LINHA DE 20"&amp;60"</v>
          </cell>
        </row>
        <row r="237">
          <cell r="B237" t="str">
            <v>UA-III</v>
          </cell>
        </row>
        <row r="238">
          <cell r="B238" t="str">
            <v>ADEQUAÇÃO A-350</v>
          </cell>
        </row>
        <row r="239">
          <cell r="B239" t="str">
            <v>GBM-1940-AX</v>
          </cell>
        </row>
        <row r="240">
          <cell r="B240" t="str">
            <v>PJ_PR-15002_ISOL.</v>
          </cell>
        </row>
        <row r="241">
          <cell r="B241" t="str">
            <v>PJ_A-1000_ISOL.</v>
          </cell>
        </row>
        <row r="242">
          <cell r="B242" t="str">
            <v>...</v>
          </cell>
        </row>
        <row r="300">
          <cell r="B300" t="str">
            <v>MM</v>
          </cell>
        </row>
        <row r="301">
          <cell r="B301" t="str">
            <v>HH</v>
          </cell>
        </row>
        <row r="302">
          <cell r="B302" t="str">
            <v>...</v>
          </cell>
        </row>
      </sheetData>
      <sheetData sheetId="1"/>
      <sheetData sheetId="2"/>
      <sheetData sheetId="3"/>
      <sheetData sheetId="4"/>
      <sheetData sheetId="5"/>
      <sheetData sheetId="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EXCLUSÃO"/>
      <sheetName val="AVANÇO FAT"/>
      <sheetName val="ESCOPO UNIFICADO"/>
      <sheetName val="Planilha1"/>
      <sheetName val="ESCOPO UNIFICADO (SEM  EXCL 02)"/>
      <sheetName val="TIMELINE_HIST.HH_CURVA_PROPOS"/>
      <sheetName val="TIMELINE_HIST.HH_CURVA_real "/>
      <sheetName val="análise prazos cry-py"/>
      <sheetName val="ESCOPO UNIFICADO (EXCLUSÃO 01)"/>
      <sheetName val=" MAT TUB  (SEM A EXCL 02)"/>
      <sheetName val="TUB 03"/>
      <sheetName val=" MAT TUB "/>
      <sheetName val="MAT EQ"/>
      <sheetName val="TIMELINE_HIST. PU"/>
      <sheetName val="análise prazos PU"/>
      <sheetName val="CRONOGRAMA SEM ORC"/>
      <sheetName val="LISTA"/>
      <sheetName val="TABELA PID"/>
      <sheetName val="CALC"/>
      <sheetName val="comun (2)"/>
      <sheetName val="comun(1)"/>
      <sheetName val="DELINEAMENTO 2 -3"/>
      <sheetName val="REL DE EMBARQUE"/>
      <sheetName val="LIST VER."/>
      <sheetName val="Plan2"/>
      <sheetName val="FO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5">
          <cell r="A5" t="str">
            <v>1/2 X 25</v>
          </cell>
        </row>
        <row r="6">
          <cell r="A6" t="str">
            <v>1/2 X 38</v>
          </cell>
        </row>
        <row r="7">
          <cell r="A7" t="str">
            <v>1/2 X 50</v>
          </cell>
        </row>
        <row r="8">
          <cell r="A8" t="str">
            <v>1/2 X 63</v>
          </cell>
        </row>
        <row r="9">
          <cell r="A9" t="str">
            <v>1/2 X 75</v>
          </cell>
        </row>
        <row r="10">
          <cell r="A10" t="str">
            <v>1/2 X 83</v>
          </cell>
        </row>
        <row r="11">
          <cell r="A11" t="str">
            <v>1/2 X 100</v>
          </cell>
        </row>
        <row r="12">
          <cell r="A12" t="str">
            <v>1/2 X 115</v>
          </cell>
        </row>
        <row r="13">
          <cell r="A13" t="str">
            <v>1/2 X 125</v>
          </cell>
        </row>
        <row r="14">
          <cell r="A14" t="str">
            <v>3/4 X 25</v>
          </cell>
        </row>
        <row r="15">
          <cell r="A15" t="str">
            <v>3/4 X 38</v>
          </cell>
        </row>
        <row r="16">
          <cell r="A16" t="str">
            <v>3/4 X 50</v>
          </cell>
        </row>
        <row r="17">
          <cell r="A17" t="str">
            <v>3/4 X 63</v>
          </cell>
        </row>
        <row r="18">
          <cell r="A18" t="str">
            <v>3/4 X 75</v>
          </cell>
        </row>
        <row r="19">
          <cell r="A19" t="str">
            <v>3/4 X 83</v>
          </cell>
        </row>
        <row r="20">
          <cell r="A20" t="str">
            <v>3/4 X 100</v>
          </cell>
        </row>
        <row r="21">
          <cell r="A21" t="str">
            <v>3/4 X 115</v>
          </cell>
        </row>
        <row r="22">
          <cell r="A22" t="str">
            <v>3/4 X 125</v>
          </cell>
        </row>
        <row r="23">
          <cell r="A23" t="str">
            <v>1 X 25</v>
          </cell>
        </row>
        <row r="24">
          <cell r="A24" t="str">
            <v>1 X 38</v>
          </cell>
        </row>
        <row r="25">
          <cell r="A25" t="str">
            <v>1 X 50</v>
          </cell>
        </row>
        <row r="26">
          <cell r="A26" t="str">
            <v>1 X 63</v>
          </cell>
        </row>
        <row r="27">
          <cell r="A27" t="str">
            <v>1 X 75</v>
          </cell>
        </row>
        <row r="28">
          <cell r="A28" t="str">
            <v>1 X 83</v>
          </cell>
        </row>
        <row r="29">
          <cell r="A29" t="str">
            <v>1 X 100</v>
          </cell>
        </row>
        <row r="30">
          <cell r="A30" t="str">
            <v>1 X 115</v>
          </cell>
        </row>
        <row r="31">
          <cell r="A31" t="str">
            <v>1 X 125</v>
          </cell>
        </row>
        <row r="32">
          <cell r="A32" t="str">
            <v>1 1/2 X 25</v>
          </cell>
        </row>
        <row r="33">
          <cell r="A33" t="str">
            <v>1 1/2 X 38</v>
          </cell>
        </row>
        <row r="34">
          <cell r="A34" t="str">
            <v>1 1/2 X 50</v>
          </cell>
        </row>
        <row r="35">
          <cell r="A35" t="str">
            <v>1 1/2 X 63</v>
          </cell>
        </row>
        <row r="36">
          <cell r="A36" t="str">
            <v>1 1/2 X 75</v>
          </cell>
        </row>
        <row r="37">
          <cell r="A37" t="str">
            <v>1 1/2 X 83</v>
          </cell>
        </row>
        <row r="38">
          <cell r="A38" t="str">
            <v>1 1/2 X 100</v>
          </cell>
        </row>
        <row r="39">
          <cell r="A39" t="str">
            <v>1 1/2 X 115</v>
          </cell>
        </row>
        <row r="40">
          <cell r="A40" t="str">
            <v>1 1/2X 125</v>
          </cell>
        </row>
        <row r="41">
          <cell r="A41" t="str">
            <v>2 X 25</v>
          </cell>
        </row>
        <row r="42">
          <cell r="A42" t="str">
            <v>2 X 38</v>
          </cell>
        </row>
        <row r="43">
          <cell r="A43" t="str">
            <v>2 X 50</v>
          </cell>
        </row>
        <row r="44">
          <cell r="A44" t="str">
            <v>2 X 63</v>
          </cell>
        </row>
        <row r="45">
          <cell r="A45" t="str">
            <v>2 X 75</v>
          </cell>
        </row>
        <row r="46">
          <cell r="A46" t="str">
            <v>2 X 83</v>
          </cell>
        </row>
        <row r="47">
          <cell r="A47" t="str">
            <v>2 X 100</v>
          </cell>
        </row>
        <row r="48">
          <cell r="A48" t="str">
            <v>2 X 115</v>
          </cell>
        </row>
        <row r="49">
          <cell r="A49" t="str">
            <v>2X 125</v>
          </cell>
        </row>
        <row r="50">
          <cell r="A50" t="str">
            <v>2 1/2 X 25</v>
          </cell>
        </row>
        <row r="51">
          <cell r="A51" t="str">
            <v>2 1/2 X 38</v>
          </cell>
        </row>
        <row r="52">
          <cell r="A52" t="str">
            <v>2 1/2 X 50</v>
          </cell>
        </row>
        <row r="53">
          <cell r="A53" t="str">
            <v>2 1/2 X 63</v>
          </cell>
        </row>
        <row r="54">
          <cell r="A54" t="str">
            <v>2 1/2 X 75</v>
          </cell>
        </row>
        <row r="55">
          <cell r="A55" t="str">
            <v>2 1/2 X 83</v>
          </cell>
        </row>
        <row r="56">
          <cell r="A56" t="str">
            <v>2 1/2X 100</v>
          </cell>
        </row>
        <row r="57">
          <cell r="A57" t="str">
            <v>2 1/2 X 115</v>
          </cell>
        </row>
        <row r="58">
          <cell r="A58" t="str">
            <v>2 1/2 X 125</v>
          </cell>
        </row>
        <row r="59">
          <cell r="A59" t="str">
            <v>3 X 25</v>
          </cell>
        </row>
        <row r="60">
          <cell r="A60" t="str">
            <v>3 X 38</v>
          </cell>
        </row>
        <row r="61">
          <cell r="A61" t="str">
            <v>3 X 50</v>
          </cell>
        </row>
        <row r="62">
          <cell r="A62" t="str">
            <v>3 X 63</v>
          </cell>
        </row>
        <row r="63">
          <cell r="A63" t="str">
            <v>3 X 75</v>
          </cell>
        </row>
        <row r="64">
          <cell r="A64" t="str">
            <v>3 X 83</v>
          </cell>
        </row>
        <row r="65">
          <cell r="A65" t="str">
            <v>3 X 100</v>
          </cell>
        </row>
        <row r="66">
          <cell r="A66" t="str">
            <v>3 X 115</v>
          </cell>
        </row>
        <row r="67">
          <cell r="A67" t="str">
            <v>3 X 125</v>
          </cell>
        </row>
        <row r="68">
          <cell r="A68" t="str">
            <v>4 X 25</v>
          </cell>
        </row>
        <row r="69">
          <cell r="A69" t="str">
            <v>4 X 38</v>
          </cell>
        </row>
        <row r="70">
          <cell r="A70" t="str">
            <v>4 X 50</v>
          </cell>
        </row>
        <row r="71">
          <cell r="A71" t="str">
            <v>4 X 63</v>
          </cell>
        </row>
        <row r="72">
          <cell r="A72" t="str">
            <v>4 X 75</v>
          </cell>
        </row>
        <row r="73">
          <cell r="A73" t="str">
            <v>4 X 83</v>
          </cell>
        </row>
        <row r="74">
          <cell r="A74" t="str">
            <v>4 X 100</v>
          </cell>
        </row>
        <row r="75">
          <cell r="A75" t="str">
            <v>4 X 115</v>
          </cell>
        </row>
        <row r="76">
          <cell r="A76" t="str">
            <v>4 X 125</v>
          </cell>
        </row>
        <row r="77">
          <cell r="A77" t="str">
            <v>6 X 25</v>
          </cell>
        </row>
        <row r="78">
          <cell r="A78" t="str">
            <v>6 X 38</v>
          </cell>
        </row>
        <row r="79">
          <cell r="A79" t="str">
            <v>6 X 50</v>
          </cell>
        </row>
        <row r="80">
          <cell r="A80" t="str">
            <v>6 X 63</v>
          </cell>
        </row>
        <row r="81">
          <cell r="A81" t="str">
            <v>6 X 75</v>
          </cell>
        </row>
        <row r="82">
          <cell r="A82" t="str">
            <v>6 X 83</v>
          </cell>
        </row>
        <row r="83">
          <cell r="A83" t="str">
            <v>6 X 100</v>
          </cell>
        </row>
        <row r="84">
          <cell r="A84" t="str">
            <v>6 X 115</v>
          </cell>
        </row>
        <row r="85">
          <cell r="A85" t="str">
            <v>6 X 125</v>
          </cell>
        </row>
        <row r="86">
          <cell r="A86" t="str">
            <v>8 X 25</v>
          </cell>
        </row>
        <row r="87">
          <cell r="A87" t="str">
            <v>8 X 38</v>
          </cell>
        </row>
        <row r="88">
          <cell r="A88" t="str">
            <v>8 X 50</v>
          </cell>
        </row>
        <row r="89">
          <cell r="A89" t="str">
            <v>8 X 63</v>
          </cell>
        </row>
        <row r="90">
          <cell r="A90" t="str">
            <v>8 X 75</v>
          </cell>
        </row>
        <row r="91">
          <cell r="A91" t="str">
            <v>8 X 83</v>
          </cell>
        </row>
        <row r="92">
          <cell r="A92" t="str">
            <v>8 X 100</v>
          </cell>
        </row>
        <row r="93">
          <cell r="A93" t="str">
            <v>8 X 115</v>
          </cell>
        </row>
        <row r="94">
          <cell r="A94" t="str">
            <v>8 X 125</v>
          </cell>
        </row>
        <row r="95">
          <cell r="A95" t="str">
            <v>10 X 25</v>
          </cell>
        </row>
        <row r="96">
          <cell r="A96" t="str">
            <v>10 X 38</v>
          </cell>
        </row>
        <row r="97">
          <cell r="A97" t="str">
            <v>10 X 50</v>
          </cell>
        </row>
        <row r="98">
          <cell r="A98" t="str">
            <v>10 X 63</v>
          </cell>
        </row>
        <row r="99">
          <cell r="A99" t="str">
            <v>10 X 75</v>
          </cell>
        </row>
        <row r="100">
          <cell r="A100" t="str">
            <v>10 X 83</v>
          </cell>
        </row>
        <row r="101">
          <cell r="A101" t="str">
            <v>10 X 100</v>
          </cell>
        </row>
        <row r="102">
          <cell r="A102" t="str">
            <v>10 X 115</v>
          </cell>
        </row>
        <row r="103">
          <cell r="A103" t="str">
            <v>10 X 125</v>
          </cell>
        </row>
        <row r="104">
          <cell r="A104" t="str">
            <v>12 X 25</v>
          </cell>
        </row>
        <row r="105">
          <cell r="A105" t="str">
            <v>12 X 38</v>
          </cell>
        </row>
        <row r="106">
          <cell r="A106" t="str">
            <v>12 X 50</v>
          </cell>
        </row>
        <row r="107">
          <cell r="A107" t="str">
            <v>12 X 63</v>
          </cell>
        </row>
        <row r="108">
          <cell r="A108" t="str">
            <v>12 X 75</v>
          </cell>
        </row>
        <row r="109">
          <cell r="A109" t="str">
            <v>12 X 83</v>
          </cell>
        </row>
        <row r="110">
          <cell r="A110" t="str">
            <v>12 X 100</v>
          </cell>
        </row>
        <row r="111">
          <cell r="A111" t="str">
            <v>12 X 115</v>
          </cell>
        </row>
        <row r="112">
          <cell r="A112" t="str">
            <v>12 X 125</v>
          </cell>
        </row>
        <row r="113">
          <cell r="A113" t="str">
            <v>14 X 25</v>
          </cell>
        </row>
        <row r="114">
          <cell r="A114" t="str">
            <v>14 X 38</v>
          </cell>
        </row>
        <row r="115">
          <cell r="A115" t="str">
            <v>14 X 50</v>
          </cell>
        </row>
        <row r="116">
          <cell r="A116" t="str">
            <v>14 X 63</v>
          </cell>
        </row>
        <row r="117">
          <cell r="A117" t="str">
            <v>14 X 75</v>
          </cell>
        </row>
        <row r="118">
          <cell r="A118" t="str">
            <v>14 X 83</v>
          </cell>
        </row>
        <row r="119">
          <cell r="A119" t="str">
            <v>14 X 100</v>
          </cell>
        </row>
        <row r="120">
          <cell r="A120" t="str">
            <v>14 X 115</v>
          </cell>
        </row>
        <row r="121">
          <cell r="A121" t="str">
            <v>14 X 125</v>
          </cell>
        </row>
        <row r="122">
          <cell r="A122" t="str">
            <v>16 X 25</v>
          </cell>
        </row>
        <row r="123">
          <cell r="A123" t="str">
            <v>16 X 38</v>
          </cell>
        </row>
        <row r="124">
          <cell r="A124" t="str">
            <v>16 X 50</v>
          </cell>
        </row>
        <row r="125">
          <cell r="A125" t="str">
            <v>16 X 63</v>
          </cell>
        </row>
        <row r="126">
          <cell r="A126" t="str">
            <v>16 X 75</v>
          </cell>
        </row>
        <row r="127">
          <cell r="A127" t="str">
            <v>16 X 83</v>
          </cell>
        </row>
        <row r="128">
          <cell r="A128" t="str">
            <v>16 X 100</v>
          </cell>
        </row>
        <row r="129">
          <cell r="A129" t="str">
            <v>16 X 115</v>
          </cell>
        </row>
        <row r="130">
          <cell r="A130" t="str">
            <v>16 X 125</v>
          </cell>
        </row>
        <row r="131">
          <cell r="A131" t="str">
            <v>18 X 25</v>
          </cell>
        </row>
        <row r="132">
          <cell r="A132" t="str">
            <v>18 X 38</v>
          </cell>
        </row>
        <row r="133">
          <cell r="A133" t="str">
            <v>18 X 50</v>
          </cell>
        </row>
        <row r="134">
          <cell r="A134" t="str">
            <v>18 X 63</v>
          </cell>
        </row>
        <row r="135">
          <cell r="A135" t="str">
            <v>18 X 75</v>
          </cell>
        </row>
        <row r="136">
          <cell r="A136" t="str">
            <v>18 X 83</v>
          </cell>
        </row>
        <row r="137">
          <cell r="A137" t="str">
            <v>18 X 100</v>
          </cell>
        </row>
        <row r="138">
          <cell r="A138" t="str">
            <v>18 X 115</v>
          </cell>
        </row>
        <row r="139">
          <cell r="A139" t="str">
            <v>18 X 125</v>
          </cell>
        </row>
        <row r="140">
          <cell r="A140" t="str">
            <v>20 X 25</v>
          </cell>
        </row>
        <row r="141">
          <cell r="A141" t="str">
            <v>20 X 38</v>
          </cell>
        </row>
        <row r="142">
          <cell r="A142" t="str">
            <v>20 X 50</v>
          </cell>
        </row>
        <row r="143">
          <cell r="A143" t="str">
            <v>20 X 63</v>
          </cell>
        </row>
        <row r="144">
          <cell r="A144" t="str">
            <v>20 X 75</v>
          </cell>
        </row>
        <row r="145">
          <cell r="A145" t="str">
            <v>20 X 83</v>
          </cell>
        </row>
        <row r="146">
          <cell r="A146" t="str">
            <v>20 X 100</v>
          </cell>
        </row>
        <row r="147">
          <cell r="A147" t="str">
            <v>20 X 115</v>
          </cell>
        </row>
        <row r="148">
          <cell r="A148" t="str">
            <v>20 X 125</v>
          </cell>
        </row>
        <row r="149">
          <cell r="A149" t="str">
            <v>22 X 25</v>
          </cell>
        </row>
        <row r="150">
          <cell r="A150" t="str">
            <v>22 X 38</v>
          </cell>
        </row>
        <row r="151">
          <cell r="A151" t="str">
            <v>22 X 50</v>
          </cell>
        </row>
        <row r="152">
          <cell r="A152" t="str">
            <v>22 X 63</v>
          </cell>
        </row>
        <row r="153">
          <cell r="A153" t="str">
            <v>22 X 75</v>
          </cell>
        </row>
        <row r="154">
          <cell r="A154" t="str">
            <v>22 X 83</v>
          </cell>
        </row>
        <row r="155">
          <cell r="A155" t="str">
            <v>22 X 100</v>
          </cell>
        </row>
        <row r="156">
          <cell r="A156" t="str">
            <v>22 X 115</v>
          </cell>
        </row>
        <row r="157">
          <cell r="A157" t="str">
            <v>22 X 125</v>
          </cell>
        </row>
        <row r="158">
          <cell r="A158" t="str">
            <v>24 X 25</v>
          </cell>
        </row>
        <row r="159">
          <cell r="A159" t="str">
            <v>24 X 38</v>
          </cell>
        </row>
        <row r="160">
          <cell r="A160" t="str">
            <v>24 X 50</v>
          </cell>
        </row>
        <row r="161">
          <cell r="A161" t="str">
            <v>24 X 63</v>
          </cell>
        </row>
        <row r="162">
          <cell r="A162" t="str">
            <v>24 X 75</v>
          </cell>
        </row>
        <row r="163">
          <cell r="A163" t="str">
            <v>24 X 83</v>
          </cell>
        </row>
        <row r="164">
          <cell r="A164" t="str">
            <v>24 X 100</v>
          </cell>
        </row>
        <row r="165">
          <cell r="A165" t="str">
            <v>24 X 115</v>
          </cell>
        </row>
        <row r="166">
          <cell r="A166" t="str">
            <v>24 X 125</v>
          </cell>
        </row>
        <row r="167">
          <cell r="A167" t="str">
            <v>26 X 25</v>
          </cell>
        </row>
        <row r="168">
          <cell r="A168" t="str">
            <v>26 X 38</v>
          </cell>
        </row>
        <row r="169">
          <cell r="A169" t="str">
            <v>26 X 50</v>
          </cell>
        </row>
        <row r="170">
          <cell r="A170" t="str">
            <v>26 X 63</v>
          </cell>
        </row>
        <row r="171">
          <cell r="A171" t="str">
            <v>26 X 75</v>
          </cell>
        </row>
        <row r="172">
          <cell r="A172" t="str">
            <v>26 X 83</v>
          </cell>
        </row>
        <row r="173">
          <cell r="A173" t="str">
            <v>26 X 100</v>
          </cell>
        </row>
        <row r="174">
          <cell r="A174" t="str">
            <v>26 X 115</v>
          </cell>
        </row>
        <row r="175">
          <cell r="A175" t="str">
            <v>26 X 125</v>
          </cell>
        </row>
        <row r="176">
          <cell r="A176" t="str">
            <v>28 X 25</v>
          </cell>
        </row>
        <row r="177">
          <cell r="A177" t="str">
            <v>28 X 38</v>
          </cell>
        </row>
        <row r="178">
          <cell r="A178" t="str">
            <v>28 X 50</v>
          </cell>
        </row>
        <row r="179">
          <cell r="A179" t="str">
            <v>28 X 63</v>
          </cell>
        </row>
        <row r="180">
          <cell r="A180" t="str">
            <v>28 X 75</v>
          </cell>
        </row>
        <row r="181">
          <cell r="A181" t="str">
            <v>28 X 83</v>
          </cell>
        </row>
        <row r="182">
          <cell r="A182" t="str">
            <v>28 X 100</v>
          </cell>
        </row>
        <row r="183">
          <cell r="A183" t="str">
            <v>28 X 115</v>
          </cell>
        </row>
        <row r="184">
          <cell r="A184" t="str">
            <v>28 X 125</v>
          </cell>
        </row>
        <row r="185">
          <cell r="A185" t="str">
            <v>30 X 25</v>
          </cell>
        </row>
        <row r="186">
          <cell r="A186" t="str">
            <v>30 X 38</v>
          </cell>
        </row>
        <row r="187">
          <cell r="A187" t="str">
            <v>30 X 50</v>
          </cell>
        </row>
        <row r="188">
          <cell r="A188" t="str">
            <v>30 X 63</v>
          </cell>
        </row>
        <row r="189">
          <cell r="A189" t="str">
            <v>30 X 75</v>
          </cell>
        </row>
        <row r="190">
          <cell r="A190" t="str">
            <v>30 X 83</v>
          </cell>
        </row>
        <row r="191">
          <cell r="A191" t="str">
            <v>30 X 100</v>
          </cell>
        </row>
        <row r="192">
          <cell r="A192" t="str">
            <v>30 X 115</v>
          </cell>
        </row>
        <row r="193">
          <cell r="A193" t="str">
            <v>30 X 125</v>
          </cell>
        </row>
        <row r="194">
          <cell r="A194" t="str">
            <v>32 X 25</v>
          </cell>
        </row>
        <row r="195">
          <cell r="A195" t="str">
            <v>32 X 38</v>
          </cell>
        </row>
        <row r="196">
          <cell r="A196" t="str">
            <v>32 X 50</v>
          </cell>
        </row>
        <row r="197">
          <cell r="A197" t="str">
            <v>32 X 63</v>
          </cell>
        </row>
        <row r="198">
          <cell r="A198" t="str">
            <v>32 X 75</v>
          </cell>
        </row>
        <row r="199">
          <cell r="A199" t="str">
            <v>32 X 83</v>
          </cell>
        </row>
        <row r="200">
          <cell r="A200" t="str">
            <v>32 X 100</v>
          </cell>
        </row>
        <row r="201">
          <cell r="A201" t="str">
            <v>32 X 115</v>
          </cell>
        </row>
        <row r="202">
          <cell r="A202" t="str">
            <v>32 X 125</v>
          </cell>
        </row>
        <row r="203">
          <cell r="A203" t="str">
            <v>34 X 25</v>
          </cell>
        </row>
        <row r="204">
          <cell r="A204" t="str">
            <v>34 X 38</v>
          </cell>
        </row>
        <row r="205">
          <cell r="A205" t="str">
            <v>34 X 50</v>
          </cell>
        </row>
        <row r="206">
          <cell r="A206" t="str">
            <v>34 X 63</v>
          </cell>
        </row>
        <row r="207">
          <cell r="A207" t="str">
            <v>34 X 75</v>
          </cell>
        </row>
        <row r="208">
          <cell r="A208" t="str">
            <v>34 X 83</v>
          </cell>
        </row>
        <row r="209">
          <cell r="A209" t="str">
            <v>34 X 100</v>
          </cell>
        </row>
        <row r="210">
          <cell r="A210" t="str">
            <v>34 X 115</v>
          </cell>
        </row>
        <row r="211">
          <cell r="A211" t="str">
            <v>34 X 125</v>
          </cell>
        </row>
        <row r="212">
          <cell r="A212" t="str">
            <v>36 X 25</v>
          </cell>
        </row>
        <row r="213">
          <cell r="A213" t="str">
            <v>36 X 38</v>
          </cell>
        </row>
        <row r="214">
          <cell r="A214" t="str">
            <v>36 X 50</v>
          </cell>
        </row>
        <row r="215">
          <cell r="A215" t="str">
            <v>36 X 63</v>
          </cell>
        </row>
        <row r="216">
          <cell r="A216" t="str">
            <v>36 X 75</v>
          </cell>
        </row>
        <row r="217">
          <cell r="A217" t="str">
            <v>36 X 83</v>
          </cell>
        </row>
        <row r="218">
          <cell r="A218" t="str">
            <v>36 X 100</v>
          </cell>
        </row>
        <row r="219">
          <cell r="A219" t="str">
            <v>36 X 115</v>
          </cell>
        </row>
        <row r="220">
          <cell r="A220" t="str">
            <v>36 X 125</v>
          </cell>
        </row>
        <row r="221">
          <cell r="A221" t="str">
            <v>38 X 25</v>
          </cell>
        </row>
        <row r="222">
          <cell r="A222" t="str">
            <v>38 X 38</v>
          </cell>
        </row>
        <row r="223">
          <cell r="A223" t="str">
            <v>38 X 50</v>
          </cell>
        </row>
        <row r="224">
          <cell r="A224" t="str">
            <v>38 X 63</v>
          </cell>
        </row>
        <row r="225">
          <cell r="A225" t="str">
            <v>38 X 75</v>
          </cell>
        </row>
        <row r="226">
          <cell r="A226" t="str">
            <v>38 X 83</v>
          </cell>
        </row>
        <row r="227">
          <cell r="A227" t="str">
            <v>38 X 100</v>
          </cell>
        </row>
        <row r="228">
          <cell r="A228" t="str">
            <v>38 X 115</v>
          </cell>
        </row>
        <row r="229">
          <cell r="A229" t="str">
            <v>38 X 125</v>
          </cell>
        </row>
        <row r="230">
          <cell r="A230" t="str">
            <v>40 X 25</v>
          </cell>
        </row>
        <row r="231">
          <cell r="A231" t="str">
            <v>40 X 38</v>
          </cell>
        </row>
        <row r="232">
          <cell r="A232" t="str">
            <v>40 X 50</v>
          </cell>
        </row>
        <row r="233">
          <cell r="A233" t="str">
            <v>40 X 63</v>
          </cell>
        </row>
        <row r="234">
          <cell r="A234" t="str">
            <v>40 X 75</v>
          </cell>
        </row>
        <row r="235">
          <cell r="A235" t="str">
            <v>40 X 83</v>
          </cell>
        </row>
        <row r="236">
          <cell r="A236" t="str">
            <v>40 X 100</v>
          </cell>
        </row>
        <row r="237">
          <cell r="A237" t="str">
            <v>40 X 115</v>
          </cell>
        </row>
        <row r="238">
          <cell r="A238" t="str">
            <v>40 X 125</v>
          </cell>
        </row>
        <row r="239">
          <cell r="A239" t="str">
            <v>42 X 25</v>
          </cell>
        </row>
        <row r="240">
          <cell r="A240" t="str">
            <v>42 X 38</v>
          </cell>
        </row>
        <row r="241">
          <cell r="A241" t="str">
            <v>42 X 50</v>
          </cell>
        </row>
        <row r="242">
          <cell r="A242" t="str">
            <v>42 X 63</v>
          </cell>
        </row>
        <row r="243">
          <cell r="A243" t="str">
            <v>42 X 75</v>
          </cell>
        </row>
        <row r="244">
          <cell r="A244" t="str">
            <v>42 X 83</v>
          </cell>
        </row>
        <row r="245">
          <cell r="A245" t="str">
            <v>42 X 100</v>
          </cell>
        </row>
        <row r="246">
          <cell r="A246" t="str">
            <v>42 X 115</v>
          </cell>
        </row>
        <row r="247">
          <cell r="A247" t="str">
            <v>42 X 125</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A PID"/>
      <sheetName val="CD-315C"/>
      <sheetName val="CD-402"/>
      <sheetName val="CE-202"/>
      <sheetName val="CE-300"/>
      <sheetName val="CE-351"/>
      <sheetName val="CE-402"/>
      <sheetName val="CD-217 "/>
      <sheetName val="CD-265"/>
      <sheetName val="CEV-404 "/>
      <sheetName val="CEV-401"/>
      <sheetName val="CD-303 "/>
      <sheetName val="CVL-401A"/>
    </sheetNames>
    <sheetDataSet>
      <sheetData sheetId="0" refreshError="1">
        <row r="4">
          <cell r="A4">
            <v>0</v>
          </cell>
          <cell r="B4">
            <v>0</v>
          </cell>
        </row>
        <row r="5">
          <cell r="A5" t="str">
            <v>1/2 X 25</v>
          </cell>
          <cell r="B5">
            <v>0.26</v>
          </cell>
        </row>
        <row r="6">
          <cell r="A6" t="str">
            <v>1/2 X 38</v>
          </cell>
          <cell r="B6">
            <v>0.33</v>
          </cell>
        </row>
        <row r="7">
          <cell r="A7" t="str">
            <v>1/2 X 50</v>
          </cell>
          <cell r="B7">
            <v>0.41</v>
          </cell>
        </row>
        <row r="8">
          <cell r="A8" t="str">
            <v>1/2 X 63</v>
          </cell>
          <cell r="B8">
            <v>0.49</v>
          </cell>
        </row>
        <row r="9">
          <cell r="A9" t="str">
            <v>1/2 X 75</v>
          </cell>
          <cell r="B9">
            <v>0.56999999999999995</v>
          </cell>
        </row>
        <row r="10">
          <cell r="A10" t="str">
            <v>1/2 X 83</v>
          </cell>
          <cell r="B10">
            <v>0.65</v>
          </cell>
        </row>
        <row r="11">
          <cell r="A11" t="str">
            <v>1/2 X 100</v>
          </cell>
          <cell r="B11">
            <v>0.73</v>
          </cell>
        </row>
        <row r="12">
          <cell r="A12" t="str">
            <v>1/2 X 115</v>
          </cell>
          <cell r="B12">
            <v>0.81</v>
          </cell>
        </row>
        <row r="13">
          <cell r="A13" t="str">
            <v>1/2 X 125</v>
          </cell>
          <cell r="B13">
            <v>0.88</v>
          </cell>
        </row>
        <row r="14">
          <cell r="A14" t="str">
            <v>3/4 X 25</v>
          </cell>
          <cell r="B14">
            <v>0.27</v>
          </cell>
        </row>
        <row r="15">
          <cell r="A15" t="str">
            <v>3/4 X 38</v>
          </cell>
          <cell r="B15">
            <v>0.35</v>
          </cell>
        </row>
        <row r="16">
          <cell r="A16" t="str">
            <v>3/4 X 50</v>
          </cell>
          <cell r="B16">
            <v>0.43</v>
          </cell>
        </row>
        <row r="17">
          <cell r="A17" t="str">
            <v>3/4 X 63</v>
          </cell>
          <cell r="B17">
            <v>0.51</v>
          </cell>
        </row>
        <row r="18">
          <cell r="A18" t="str">
            <v>3/4 X 75</v>
          </cell>
          <cell r="B18">
            <v>0.59</v>
          </cell>
        </row>
        <row r="19">
          <cell r="A19" t="str">
            <v>3/4 X 83</v>
          </cell>
          <cell r="B19">
            <v>0.66</v>
          </cell>
        </row>
        <row r="20">
          <cell r="A20" t="str">
            <v>3/4 X 100</v>
          </cell>
          <cell r="B20">
            <v>0.74</v>
          </cell>
        </row>
        <row r="21">
          <cell r="A21" t="str">
            <v>3/4 X 115</v>
          </cell>
          <cell r="B21">
            <v>0.82</v>
          </cell>
        </row>
        <row r="22">
          <cell r="A22" t="str">
            <v>3/4 X 125</v>
          </cell>
          <cell r="B22">
            <v>0.9</v>
          </cell>
        </row>
        <row r="23">
          <cell r="A23" t="str">
            <v>1 X 25</v>
          </cell>
          <cell r="B23">
            <v>0.28999999999999998</v>
          </cell>
        </row>
        <row r="24">
          <cell r="A24" t="str">
            <v>1 X 38</v>
          </cell>
          <cell r="B24">
            <v>0.37</v>
          </cell>
        </row>
        <row r="25">
          <cell r="A25" t="str">
            <v>1 X 50</v>
          </cell>
          <cell r="B25">
            <v>0.45</v>
          </cell>
        </row>
        <row r="26">
          <cell r="A26" t="str">
            <v>1 X 63</v>
          </cell>
          <cell r="B26">
            <v>0.53</v>
          </cell>
        </row>
        <row r="27">
          <cell r="A27" t="str">
            <v>1 X 75</v>
          </cell>
          <cell r="B27">
            <v>0.61</v>
          </cell>
        </row>
        <row r="28">
          <cell r="A28" t="str">
            <v>1 X 83</v>
          </cell>
          <cell r="B28">
            <v>0.69</v>
          </cell>
        </row>
        <row r="29">
          <cell r="A29" t="str">
            <v>1 X 100</v>
          </cell>
          <cell r="B29">
            <v>0.76</v>
          </cell>
        </row>
        <row r="30">
          <cell r="A30" t="str">
            <v>1 X 115</v>
          </cell>
          <cell r="B30">
            <v>0.84</v>
          </cell>
        </row>
        <row r="31">
          <cell r="A31" t="str">
            <v>1 X 125</v>
          </cell>
          <cell r="B31">
            <v>0.92</v>
          </cell>
        </row>
        <row r="32">
          <cell r="A32" t="str">
            <v>1 1/2 X 25</v>
          </cell>
          <cell r="B32">
            <v>0.34</v>
          </cell>
        </row>
        <row r="33">
          <cell r="A33" t="str">
            <v>1 1/2 X 38</v>
          </cell>
          <cell r="B33">
            <v>0.42</v>
          </cell>
        </row>
        <row r="34">
          <cell r="A34" t="str">
            <v>1 1/2 X 50</v>
          </cell>
          <cell r="B34">
            <v>0.5</v>
          </cell>
        </row>
        <row r="35">
          <cell r="A35" t="str">
            <v>1 1/2 X 63</v>
          </cell>
          <cell r="B35">
            <v>0.57999999999999996</v>
          </cell>
        </row>
        <row r="36">
          <cell r="A36" t="str">
            <v>1 1/2 X 75</v>
          </cell>
          <cell r="B36">
            <v>0.65</v>
          </cell>
        </row>
        <row r="37">
          <cell r="A37" t="str">
            <v>1 1/2 X 83</v>
          </cell>
          <cell r="B37">
            <v>0.73</v>
          </cell>
        </row>
        <row r="38">
          <cell r="A38" t="str">
            <v>1 1/2 X 100</v>
          </cell>
          <cell r="B38">
            <v>0.81</v>
          </cell>
        </row>
        <row r="39">
          <cell r="A39" t="str">
            <v>1 1/2 X 115</v>
          </cell>
          <cell r="B39">
            <v>0.89</v>
          </cell>
        </row>
        <row r="40">
          <cell r="A40" t="str">
            <v>1 1/2X 125</v>
          </cell>
          <cell r="B40">
            <v>0.97</v>
          </cell>
        </row>
        <row r="41">
          <cell r="A41" t="str">
            <v>2 X 25</v>
          </cell>
          <cell r="B41">
            <v>0.38</v>
          </cell>
        </row>
        <row r="42">
          <cell r="A42" t="str">
            <v>2 X 38</v>
          </cell>
          <cell r="B42">
            <v>0.46</v>
          </cell>
        </row>
        <row r="43">
          <cell r="A43" t="str">
            <v>2 X 50</v>
          </cell>
          <cell r="B43">
            <v>0.54</v>
          </cell>
        </row>
        <row r="44">
          <cell r="A44" t="str">
            <v>2 X 63</v>
          </cell>
          <cell r="B44">
            <v>0.61</v>
          </cell>
        </row>
        <row r="45">
          <cell r="A45" t="str">
            <v>2 X 75</v>
          </cell>
          <cell r="B45">
            <v>0.69</v>
          </cell>
        </row>
        <row r="46">
          <cell r="A46" t="str">
            <v>2 X 83</v>
          </cell>
          <cell r="B46">
            <v>0.77</v>
          </cell>
        </row>
        <row r="47">
          <cell r="A47" t="str">
            <v>2 X 100</v>
          </cell>
          <cell r="B47">
            <v>0.85</v>
          </cell>
        </row>
        <row r="48">
          <cell r="A48" t="str">
            <v>2 X 115</v>
          </cell>
          <cell r="B48">
            <v>0.93</v>
          </cell>
        </row>
        <row r="49">
          <cell r="A49" t="str">
            <v>2X 125</v>
          </cell>
          <cell r="B49">
            <v>1.01</v>
          </cell>
        </row>
        <row r="50">
          <cell r="A50" t="str">
            <v>2 1/2 X 25</v>
          </cell>
          <cell r="B50">
            <v>0.42</v>
          </cell>
        </row>
        <row r="51">
          <cell r="A51" t="str">
            <v>2 1/2 X 38</v>
          </cell>
          <cell r="B51">
            <v>0.5</v>
          </cell>
        </row>
        <row r="52">
          <cell r="A52" t="str">
            <v>2 1/2 X 50</v>
          </cell>
          <cell r="B52">
            <v>0.56999999999999995</v>
          </cell>
        </row>
        <row r="53">
          <cell r="A53" t="str">
            <v>2 1/2 X 63</v>
          </cell>
          <cell r="B53">
            <v>0.65</v>
          </cell>
        </row>
        <row r="54">
          <cell r="A54" t="str">
            <v>2 1/2 X 75</v>
          </cell>
          <cell r="B54">
            <v>0.73</v>
          </cell>
        </row>
        <row r="55">
          <cell r="A55" t="str">
            <v>2 1/2 X 83</v>
          </cell>
          <cell r="B55">
            <v>0.81</v>
          </cell>
        </row>
        <row r="56">
          <cell r="A56" t="str">
            <v>2 1/2X 100</v>
          </cell>
          <cell r="B56">
            <v>0.89</v>
          </cell>
        </row>
        <row r="57">
          <cell r="A57" t="str">
            <v>2 1/2 X 115</v>
          </cell>
          <cell r="B57">
            <v>0.97</v>
          </cell>
        </row>
        <row r="58">
          <cell r="A58" t="str">
            <v>2 1/2 X 125</v>
          </cell>
          <cell r="B58">
            <v>1.05</v>
          </cell>
        </row>
        <row r="59">
          <cell r="A59" t="str">
            <v>3 X 25</v>
          </cell>
          <cell r="B59">
            <v>0.47</v>
          </cell>
        </row>
        <row r="60">
          <cell r="A60" t="str">
            <v>3 X 38</v>
          </cell>
          <cell r="B60">
            <v>0.55000000000000004</v>
          </cell>
        </row>
        <row r="61">
          <cell r="A61" t="str">
            <v>3 X 50</v>
          </cell>
          <cell r="B61">
            <v>0.62</v>
          </cell>
        </row>
        <row r="62">
          <cell r="A62" t="str">
            <v>3 X 63</v>
          </cell>
          <cell r="B62">
            <v>0.7</v>
          </cell>
        </row>
        <row r="63">
          <cell r="A63" t="str">
            <v>3 X 75</v>
          </cell>
          <cell r="B63">
            <v>0.78</v>
          </cell>
        </row>
        <row r="64">
          <cell r="A64" t="str">
            <v>3 X 83</v>
          </cell>
          <cell r="B64">
            <v>0.86</v>
          </cell>
        </row>
        <row r="65">
          <cell r="A65" t="str">
            <v>3 X 100</v>
          </cell>
          <cell r="B65">
            <v>0.94</v>
          </cell>
        </row>
        <row r="66">
          <cell r="A66" t="str">
            <v>3 X 115</v>
          </cell>
          <cell r="B66">
            <v>1.02</v>
          </cell>
        </row>
        <row r="67">
          <cell r="A67" t="str">
            <v>3 X 125</v>
          </cell>
          <cell r="B67">
            <v>1.1000000000000001</v>
          </cell>
        </row>
        <row r="68">
          <cell r="A68" t="str">
            <v>4 X 25</v>
          </cell>
          <cell r="B68">
            <v>0.55000000000000004</v>
          </cell>
        </row>
        <row r="69">
          <cell r="A69" t="str">
            <v>4 X 38</v>
          </cell>
          <cell r="B69">
            <v>0.63</v>
          </cell>
        </row>
        <row r="70">
          <cell r="A70" t="str">
            <v>4 X 50</v>
          </cell>
          <cell r="B70">
            <v>0.71</v>
          </cell>
        </row>
        <row r="71">
          <cell r="A71" t="str">
            <v>4 X 63</v>
          </cell>
          <cell r="B71">
            <v>0.79</v>
          </cell>
        </row>
        <row r="72">
          <cell r="A72" t="str">
            <v>4 X 75</v>
          </cell>
          <cell r="B72">
            <v>0.87</v>
          </cell>
        </row>
        <row r="73">
          <cell r="A73" t="str">
            <v>4 X 83</v>
          </cell>
          <cell r="B73">
            <v>0.95</v>
          </cell>
        </row>
        <row r="74">
          <cell r="A74" t="str">
            <v>4 X 100</v>
          </cell>
          <cell r="B74">
            <v>1.03</v>
          </cell>
        </row>
        <row r="75">
          <cell r="A75" t="str">
            <v>4 X 115</v>
          </cell>
          <cell r="B75">
            <v>1.1000000000000001</v>
          </cell>
        </row>
        <row r="76">
          <cell r="A76" t="str">
            <v>4 X 125</v>
          </cell>
          <cell r="B76">
            <v>1.18</v>
          </cell>
        </row>
        <row r="77">
          <cell r="A77" t="str">
            <v>6 X 25</v>
          </cell>
          <cell r="B77">
            <v>0.55000000000000004</v>
          </cell>
        </row>
        <row r="78">
          <cell r="A78" t="str">
            <v>6 X 38</v>
          </cell>
          <cell r="B78">
            <v>0.72</v>
          </cell>
        </row>
        <row r="79">
          <cell r="A79" t="str">
            <v>6 X 50</v>
          </cell>
          <cell r="B79">
            <v>0.8</v>
          </cell>
        </row>
        <row r="80">
          <cell r="A80" t="str">
            <v>6 X 63</v>
          </cell>
          <cell r="B80">
            <v>0.87</v>
          </cell>
        </row>
        <row r="81">
          <cell r="A81" t="str">
            <v>6 X 75</v>
          </cell>
          <cell r="B81">
            <v>0.95</v>
          </cell>
        </row>
        <row r="82">
          <cell r="A82" t="str">
            <v>6 X 83</v>
          </cell>
          <cell r="B82">
            <v>1.03</v>
          </cell>
        </row>
        <row r="83">
          <cell r="A83" t="str">
            <v>6 X 100</v>
          </cell>
          <cell r="B83">
            <v>1.1100000000000001</v>
          </cell>
        </row>
        <row r="84">
          <cell r="A84" t="str">
            <v>6 X 115</v>
          </cell>
          <cell r="B84">
            <v>1.19</v>
          </cell>
        </row>
        <row r="85">
          <cell r="A85" t="str">
            <v>6 X 125</v>
          </cell>
          <cell r="B85">
            <v>1.27</v>
          </cell>
        </row>
        <row r="86">
          <cell r="A86" t="str">
            <v>8 X 25</v>
          </cell>
          <cell r="B86">
            <v>0.88</v>
          </cell>
        </row>
        <row r="87">
          <cell r="A87" t="str">
            <v>8 X 38</v>
          </cell>
          <cell r="B87">
            <v>0.96</v>
          </cell>
        </row>
        <row r="88">
          <cell r="A88" t="str">
            <v>8 X 50</v>
          </cell>
          <cell r="B88">
            <v>1.03</v>
          </cell>
        </row>
        <row r="89">
          <cell r="A89" t="str">
            <v>8 X 63</v>
          </cell>
          <cell r="B89">
            <v>1.1100000000000001</v>
          </cell>
        </row>
        <row r="90">
          <cell r="A90" t="str">
            <v>8 X 75</v>
          </cell>
          <cell r="B90">
            <v>1.19</v>
          </cell>
        </row>
        <row r="91">
          <cell r="A91" t="str">
            <v>8 X 83</v>
          </cell>
          <cell r="B91">
            <v>1.27</v>
          </cell>
        </row>
        <row r="92">
          <cell r="A92" t="str">
            <v>8 X 100</v>
          </cell>
          <cell r="B92">
            <v>1.35</v>
          </cell>
        </row>
        <row r="93">
          <cell r="A93" t="str">
            <v>8 X 115</v>
          </cell>
          <cell r="B93">
            <v>1.43</v>
          </cell>
        </row>
        <row r="94">
          <cell r="A94" t="str">
            <v>8 X 125</v>
          </cell>
          <cell r="B94">
            <v>1.51</v>
          </cell>
        </row>
        <row r="95">
          <cell r="A95" t="str">
            <v>10 X 25</v>
          </cell>
          <cell r="B95">
            <v>1.05</v>
          </cell>
        </row>
        <row r="96">
          <cell r="A96" t="str">
            <v>10 X 38</v>
          </cell>
          <cell r="B96">
            <v>1.1299999999999999</v>
          </cell>
        </row>
        <row r="97">
          <cell r="A97" t="str">
            <v>10 X 50</v>
          </cell>
          <cell r="B97">
            <v>1.2</v>
          </cell>
        </row>
        <row r="98">
          <cell r="A98" t="str">
            <v>10 X 63</v>
          </cell>
          <cell r="B98">
            <v>1.28</v>
          </cell>
        </row>
        <row r="99">
          <cell r="A99" t="str">
            <v>10 X 75</v>
          </cell>
          <cell r="B99">
            <v>1.36</v>
          </cell>
        </row>
        <row r="100">
          <cell r="A100" t="str">
            <v>10 X 83</v>
          </cell>
          <cell r="B100">
            <v>1.44</v>
          </cell>
        </row>
        <row r="101">
          <cell r="A101" t="str">
            <v>10 X 100</v>
          </cell>
          <cell r="B101">
            <v>1.52</v>
          </cell>
        </row>
        <row r="102">
          <cell r="A102" t="str">
            <v>10 X 115</v>
          </cell>
          <cell r="B102">
            <v>1.6</v>
          </cell>
        </row>
        <row r="103">
          <cell r="A103" t="str">
            <v>10 X 125</v>
          </cell>
          <cell r="B103">
            <v>1.67</v>
          </cell>
        </row>
        <row r="104">
          <cell r="A104" t="str">
            <v>12 X 25</v>
          </cell>
          <cell r="B104">
            <v>1.21</v>
          </cell>
        </row>
        <row r="105">
          <cell r="A105" t="str">
            <v>12 X 38</v>
          </cell>
          <cell r="B105">
            <v>1.28</v>
          </cell>
        </row>
        <row r="106">
          <cell r="A106" t="str">
            <v>12 X 50</v>
          </cell>
          <cell r="B106">
            <v>1.36</v>
          </cell>
        </row>
        <row r="107">
          <cell r="A107" t="str">
            <v>12 X 63</v>
          </cell>
          <cell r="B107">
            <v>1.44</v>
          </cell>
        </row>
        <row r="108">
          <cell r="A108" t="str">
            <v>12 X 75</v>
          </cell>
          <cell r="B108">
            <v>1.52</v>
          </cell>
        </row>
        <row r="109">
          <cell r="A109" t="str">
            <v>12 X 83</v>
          </cell>
          <cell r="B109">
            <v>1.6</v>
          </cell>
        </row>
        <row r="110">
          <cell r="A110" t="str">
            <v>12 X 100</v>
          </cell>
          <cell r="B110">
            <v>1.68</v>
          </cell>
        </row>
        <row r="111">
          <cell r="A111" t="str">
            <v>12 X 115</v>
          </cell>
          <cell r="B111">
            <v>1.76</v>
          </cell>
        </row>
        <row r="112">
          <cell r="A112" t="str">
            <v>12 X 125</v>
          </cell>
          <cell r="B112">
            <v>1.83</v>
          </cell>
        </row>
        <row r="113">
          <cell r="A113" t="str">
            <v>14 X 25</v>
          </cell>
          <cell r="B113">
            <v>1.31</v>
          </cell>
        </row>
        <row r="114">
          <cell r="A114" t="str">
            <v>14 X 38</v>
          </cell>
          <cell r="B114">
            <v>1.38</v>
          </cell>
        </row>
        <row r="115">
          <cell r="A115" t="str">
            <v>14 X 50</v>
          </cell>
          <cell r="B115">
            <v>1.46</v>
          </cell>
        </row>
        <row r="116">
          <cell r="A116" t="str">
            <v>14 X 63</v>
          </cell>
          <cell r="B116">
            <v>1.54</v>
          </cell>
        </row>
        <row r="117">
          <cell r="A117" t="str">
            <v>14 X 75</v>
          </cell>
          <cell r="B117">
            <v>1.62</v>
          </cell>
        </row>
        <row r="118">
          <cell r="A118" t="str">
            <v>14 X 83</v>
          </cell>
          <cell r="B118">
            <v>1.7</v>
          </cell>
        </row>
        <row r="119">
          <cell r="A119" t="str">
            <v>14 X 100</v>
          </cell>
          <cell r="B119">
            <v>1.78</v>
          </cell>
        </row>
        <row r="120">
          <cell r="A120" t="str">
            <v>14 X 115</v>
          </cell>
          <cell r="B120">
            <v>1.86</v>
          </cell>
        </row>
        <row r="121">
          <cell r="A121" t="str">
            <v>14 X 125</v>
          </cell>
          <cell r="B121">
            <v>1.93</v>
          </cell>
        </row>
        <row r="122">
          <cell r="A122" t="str">
            <v>16 X 25</v>
          </cell>
          <cell r="B122">
            <v>1.47</v>
          </cell>
        </row>
        <row r="123">
          <cell r="A123" t="str">
            <v>16 X 38</v>
          </cell>
          <cell r="B123">
            <v>1.54</v>
          </cell>
        </row>
        <row r="124">
          <cell r="A124" t="str">
            <v>16 X 50</v>
          </cell>
          <cell r="B124">
            <v>1.62</v>
          </cell>
        </row>
        <row r="125">
          <cell r="A125" t="str">
            <v>16 X 63</v>
          </cell>
          <cell r="B125">
            <v>1.7</v>
          </cell>
        </row>
        <row r="126">
          <cell r="A126" t="str">
            <v>16 X 75</v>
          </cell>
          <cell r="B126">
            <v>1.78</v>
          </cell>
        </row>
        <row r="127">
          <cell r="A127" t="str">
            <v>16 X 83</v>
          </cell>
          <cell r="B127">
            <v>1.86</v>
          </cell>
        </row>
        <row r="128">
          <cell r="A128" t="str">
            <v>16 X 100</v>
          </cell>
          <cell r="B128">
            <v>1.94</v>
          </cell>
        </row>
        <row r="129">
          <cell r="A129" t="str">
            <v>16 X 115</v>
          </cell>
          <cell r="B129">
            <v>2.02</v>
          </cell>
        </row>
        <row r="130">
          <cell r="A130" t="str">
            <v>16 X 125</v>
          </cell>
          <cell r="B130">
            <v>2.09</v>
          </cell>
        </row>
        <row r="131">
          <cell r="A131" t="str">
            <v>18 X 25</v>
          </cell>
          <cell r="B131">
            <v>1.62</v>
          </cell>
        </row>
        <row r="132">
          <cell r="A132" t="str">
            <v>18 X 38</v>
          </cell>
          <cell r="B132">
            <v>1.7</v>
          </cell>
        </row>
        <row r="133">
          <cell r="A133" t="str">
            <v>18 X 50</v>
          </cell>
          <cell r="B133">
            <v>1.78</v>
          </cell>
        </row>
        <row r="134">
          <cell r="A134" t="str">
            <v>18 X 63</v>
          </cell>
          <cell r="B134">
            <v>1.8</v>
          </cell>
        </row>
        <row r="135">
          <cell r="A135" t="str">
            <v>18 X 75</v>
          </cell>
          <cell r="B135">
            <v>1.94</v>
          </cell>
        </row>
        <row r="136">
          <cell r="A136" t="str">
            <v>18 X 83</v>
          </cell>
          <cell r="B136">
            <v>2.02</v>
          </cell>
        </row>
        <row r="137">
          <cell r="A137" t="str">
            <v>18 X 100</v>
          </cell>
          <cell r="B137">
            <v>2.1</v>
          </cell>
        </row>
        <row r="138">
          <cell r="A138" t="str">
            <v>18 X 115</v>
          </cell>
          <cell r="B138">
            <v>2.17</v>
          </cell>
        </row>
        <row r="139">
          <cell r="A139" t="str">
            <v>18 X 125</v>
          </cell>
          <cell r="B139">
            <v>2.25</v>
          </cell>
        </row>
        <row r="140">
          <cell r="A140" t="str">
            <v>20 X 25</v>
          </cell>
          <cell r="B140">
            <v>1.78</v>
          </cell>
        </row>
        <row r="141">
          <cell r="A141" t="str">
            <v>20 X 38</v>
          </cell>
          <cell r="B141">
            <v>1.86</v>
          </cell>
        </row>
        <row r="142">
          <cell r="A142" t="str">
            <v>20 X 50</v>
          </cell>
          <cell r="B142">
            <v>1.94</v>
          </cell>
        </row>
        <row r="143">
          <cell r="A143" t="str">
            <v>20 X 63</v>
          </cell>
          <cell r="B143">
            <v>2.02</v>
          </cell>
        </row>
        <row r="144">
          <cell r="A144" t="str">
            <v>20 X 75</v>
          </cell>
          <cell r="B144">
            <v>2.1</v>
          </cell>
        </row>
        <row r="145">
          <cell r="A145" t="str">
            <v>20 X 83</v>
          </cell>
          <cell r="B145">
            <v>2.1800000000000002</v>
          </cell>
        </row>
        <row r="146">
          <cell r="A146" t="str">
            <v>20 X 100</v>
          </cell>
          <cell r="B146">
            <v>2.2599999999999998</v>
          </cell>
        </row>
        <row r="147">
          <cell r="A147" t="str">
            <v>20 X 115</v>
          </cell>
          <cell r="B147">
            <v>2.33</v>
          </cell>
        </row>
        <row r="148">
          <cell r="A148" t="str">
            <v>20 X 125</v>
          </cell>
          <cell r="B148">
            <v>2.41</v>
          </cell>
        </row>
        <row r="149">
          <cell r="A149" t="str">
            <v>22 X 25</v>
          </cell>
          <cell r="B149">
            <v>1.94</v>
          </cell>
        </row>
        <row r="150">
          <cell r="A150" t="str">
            <v>22 X 38</v>
          </cell>
          <cell r="B150">
            <v>2.02</v>
          </cell>
        </row>
        <row r="151">
          <cell r="A151" t="str">
            <v>22 X 50</v>
          </cell>
          <cell r="B151">
            <v>2.1</v>
          </cell>
        </row>
        <row r="152">
          <cell r="A152" t="str">
            <v>22 X 63</v>
          </cell>
          <cell r="B152">
            <v>2.1800000000000002</v>
          </cell>
        </row>
        <row r="153">
          <cell r="A153" t="str">
            <v>22 X 75</v>
          </cell>
          <cell r="B153">
            <v>2.2599999999999998</v>
          </cell>
        </row>
        <row r="154">
          <cell r="A154" t="str">
            <v>22 X 83</v>
          </cell>
          <cell r="B154">
            <v>2.34</v>
          </cell>
        </row>
        <row r="155">
          <cell r="A155" t="str">
            <v>22 X 100</v>
          </cell>
          <cell r="B155">
            <v>2.42</v>
          </cell>
        </row>
        <row r="156">
          <cell r="A156" t="str">
            <v>22 X 115</v>
          </cell>
          <cell r="B156">
            <v>2.4900000000000002</v>
          </cell>
        </row>
        <row r="157">
          <cell r="A157" t="str">
            <v>22 X 125</v>
          </cell>
          <cell r="B157">
            <v>2.57</v>
          </cell>
        </row>
        <row r="158">
          <cell r="A158" t="str">
            <v>24 X 25</v>
          </cell>
          <cell r="B158">
            <v>2.1</v>
          </cell>
        </row>
        <row r="159">
          <cell r="A159" t="str">
            <v>24 X 38</v>
          </cell>
          <cell r="B159">
            <v>2.1800000000000002</v>
          </cell>
        </row>
        <row r="160">
          <cell r="A160" t="str">
            <v>24 X 50</v>
          </cell>
          <cell r="B160">
            <v>2.2599999999999998</v>
          </cell>
        </row>
        <row r="161">
          <cell r="A161" t="str">
            <v>24 X 63</v>
          </cell>
          <cell r="B161">
            <v>2.34</v>
          </cell>
        </row>
        <row r="162">
          <cell r="A162" t="str">
            <v>24 X 75</v>
          </cell>
          <cell r="B162">
            <v>2.42</v>
          </cell>
        </row>
        <row r="163">
          <cell r="A163" t="str">
            <v>24 X 83</v>
          </cell>
          <cell r="B163">
            <v>2.5</v>
          </cell>
        </row>
        <row r="164">
          <cell r="A164" t="str">
            <v>24 X 100</v>
          </cell>
          <cell r="B164">
            <v>2.58</v>
          </cell>
        </row>
        <row r="165">
          <cell r="A165" t="str">
            <v>24 X 115</v>
          </cell>
          <cell r="B165">
            <v>2.65</v>
          </cell>
        </row>
        <row r="166">
          <cell r="A166" t="str">
            <v>24 X 125</v>
          </cell>
          <cell r="B166">
            <v>2.73</v>
          </cell>
        </row>
        <row r="167">
          <cell r="A167" t="str">
            <v>26 X 25</v>
          </cell>
          <cell r="B167">
            <v>2.2599999999999998</v>
          </cell>
        </row>
        <row r="168">
          <cell r="A168" t="str">
            <v>26 X 38</v>
          </cell>
          <cell r="B168">
            <v>2.34</v>
          </cell>
        </row>
        <row r="169">
          <cell r="A169" t="str">
            <v>26 X 50</v>
          </cell>
          <cell r="B169">
            <v>2.42</v>
          </cell>
        </row>
        <row r="170">
          <cell r="A170" t="str">
            <v>26 X 63</v>
          </cell>
          <cell r="B170">
            <v>2.5</v>
          </cell>
        </row>
        <row r="171">
          <cell r="A171" t="str">
            <v>26 X 75</v>
          </cell>
          <cell r="B171">
            <v>2.58</v>
          </cell>
        </row>
        <row r="172">
          <cell r="A172" t="str">
            <v>26 X 83</v>
          </cell>
          <cell r="B172">
            <v>2.65</v>
          </cell>
        </row>
        <row r="173">
          <cell r="A173" t="str">
            <v>26 X 100</v>
          </cell>
          <cell r="B173">
            <v>2.73</v>
          </cell>
        </row>
        <row r="174">
          <cell r="A174" t="str">
            <v>26 X 115</v>
          </cell>
          <cell r="B174">
            <v>2.81</v>
          </cell>
        </row>
        <row r="175">
          <cell r="A175" t="str">
            <v>26 X 125</v>
          </cell>
          <cell r="B175">
            <v>2.89</v>
          </cell>
        </row>
        <row r="176">
          <cell r="A176" t="str">
            <v>28 X 25</v>
          </cell>
          <cell r="B176">
            <v>2.42</v>
          </cell>
        </row>
        <row r="177">
          <cell r="A177" t="str">
            <v>28 X 38</v>
          </cell>
          <cell r="B177">
            <v>2.5</v>
          </cell>
        </row>
        <row r="178">
          <cell r="A178" t="str">
            <v>28 X 50</v>
          </cell>
          <cell r="B178">
            <v>2.58</v>
          </cell>
        </row>
        <row r="179">
          <cell r="A179" t="str">
            <v>28 X 63</v>
          </cell>
          <cell r="B179">
            <v>2.66</v>
          </cell>
        </row>
        <row r="180">
          <cell r="A180" t="str">
            <v>28 X 75</v>
          </cell>
          <cell r="B180">
            <v>2.74</v>
          </cell>
        </row>
        <row r="181">
          <cell r="A181" t="str">
            <v>28 X 83</v>
          </cell>
          <cell r="B181">
            <v>2.81</v>
          </cell>
        </row>
        <row r="182">
          <cell r="A182" t="str">
            <v>28 X 100</v>
          </cell>
          <cell r="B182">
            <v>2.89</v>
          </cell>
        </row>
        <row r="183">
          <cell r="A183" t="str">
            <v>28 X 115</v>
          </cell>
          <cell r="B183">
            <v>2.97</v>
          </cell>
        </row>
        <row r="184">
          <cell r="A184" t="str">
            <v>28 X 125</v>
          </cell>
          <cell r="B184">
            <v>3.05</v>
          </cell>
        </row>
        <row r="185">
          <cell r="A185" t="str">
            <v>30 X 25</v>
          </cell>
          <cell r="B185">
            <v>2.58</v>
          </cell>
        </row>
        <row r="186">
          <cell r="A186" t="str">
            <v>30 X 38</v>
          </cell>
          <cell r="B186">
            <v>2.66</v>
          </cell>
        </row>
        <row r="187">
          <cell r="A187" t="str">
            <v>30 X 50</v>
          </cell>
          <cell r="B187">
            <v>2.74</v>
          </cell>
        </row>
        <row r="188">
          <cell r="A188" t="str">
            <v>30 X 63</v>
          </cell>
          <cell r="B188">
            <v>2.82</v>
          </cell>
        </row>
        <row r="189">
          <cell r="A189" t="str">
            <v>30 X 75</v>
          </cell>
          <cell r="B189">
            <v>2.9</v>
          </cell>
        </row>
        <row r="190">
          <cell r="A190" t="str">
            <v>30 X 83</v>
          </cell>
          <cell r="B190">
            <v>2.98</v>
          </cell>
        </row>
        <row r="191">
          <cell r="A191" t="str">
            <v>30 X 100</v>
          </cell>
          <cell r="B191">
            <v>3.05</v>
          </cell>
        </row>
        <row r="192">
          <cell r="A192" t="str">
            <v>30 X 115</v>
          </cell>
          <cell r="B192">
            <v>3.13</v>
          </cell>
        </row>
        <row r="193">
          <cell r="A193" t="str">
            <v>30 X 125</v>
          </cell>
          <cell r="B193">
            <v>3.21</v>
          </cell>
        </row>
        <row r="194">
          <cell r="A194" t="str">
            <v>32 X 25</v>
          </cell>
          <cell r="B194">
            <v>2.74</v>
          </cell>
        </row>
        <row r="195">
          <cell r="A195" t="str">
            <v>32 X 38</v>
          </cell>
          <cell r="B195">
            <v>2.82</v>
          </cell>
        </row>
        <row r="196">
          <cell r="A196" t="str">
            <v>32 X 50</v>
          </cell>
          <cell r="B196">
            <v>2.9</v>
          </cell>
        </row>
        <row r="197">
          <cell r="A197" t="str">
            <v>32 X 63</v>
          </cell>
          <cell r="B197">
            <v>2.98</v>
          </cell>
        </row>
        <row r="198">
          <cell r="A198" t="str">
            <v>32 X 75</v>
          </cell>
          <cell r="B198">
            <v>3.06</v>
          </cell>
        </row>
        <row r="199">
          <cell r="A199" t="str">
            <v>32 X 83</v>
          </cell>
          <cell r="B199">
            <v>3.14</v>
          </cell>
        </row>
        <row r="200">
          <cell r="A200" t="str">
            <v>32 X 100</v>
          </cell>
          <cell r="B200">
            <v>3.21</v>
          </cell>
        </row>
        <row r="201">
          <cell r="A201" t="str">
            <v>32 X 115</v>
          </cell>
          <cell r="B201">
            <v>3.29</v>
          </cell>
        </row>
        <row r="202">
          <cell r="A202" t="str">
            <v>32 X 125</v>
          </cell>
          <cell r="B202">
            <v>3.37</v>
          </cell>
        </row>
        <row r="203">
          <cell r="A203" t="str">
            <v>34 X 25</v>
          </cell>
          <cell r="B203">
            <v>2.9</v>
          </cell>
        </row>
        <row r="204">
          <cell r="A204" t="str">
            <v>34 X 38</v>
          </cell>
          <cell r="B204">
            <v>2.98</v>
          </cell>
        </row>
        <row r="205">
          <cell r="A205" t="str">
            <v>34 X 50</v>
          </cell>
          <cell r="B205">
            <v>3.06</v>
          </cell>
        </row>
        <row r="206">
          <cell r="A206" t="str">
            <v>34 X 63</v>
          </cell>
          <cell r="B206">
            <v>3.14</v>
          </cell>
        </row>
        <row r="207">
          <cell r="A207" t="str">
            <v>34 X 75</v>
          </cell>
          <cell r="B207">
            <v>3.22</v>
          </cell>
        </row>
        <row r="208">
          <cell r="A208" t="str">
            <v>34 X 83</v>
          </cell>
          <cell r="B208">
            <v>3.3</v>
          </cell>
        </row>
        <row r="209">
          <cell r="A209" t="str">
            <v>34 X 100</v>
          </cell>
          <cell r="B209">
            <v>3.37</v>
          </cell>
        </row>
        <row r="210">
          <cell r="A210" t="str">
            <v>34 X 115</v>
          </cell>
          <cell r="B210">
            <v>3.45</v>
          </cell>
        </row>
        <row r="211">
          <cell r="A211" t="str">
            <v>34 X 125</v>
          </cell>
          <cell r="B211">
            <v>3.53</v>
          </cell>
        </row>
        <row r="212">
          <cell r="A212" t="str">
            <v>36 X 25</v>
          </cell>
          <cell r="B212">
            <v>2.9</v>
          </cell>
        </row>
        <row r="213">
          <cell r="A213" t="str">
            <v>36 X 38</v>
          </cell>
          <cell r="B213">
            <v>2.98</v>
          </cell>
        </row>
        <row r="214">
          <cell r="A214" t="str">
            <v>36 X 50</v>
          </cell>
          <cell r="B214">
            <v>3.06</v>
          </cell>
        </row>
        <row r="215">
          <cell r="A215" t="str">
            <v>36 X 63</v>
          </cell>
          <cell r="B215">
            <v>3.14</v>
          </cell>
        </row>
        <row r="216">
          <cell r="A216" t="str">
            <v>36 X 75</v>
          </cell>
          <cell r="B216">
            <v>3.22</v>
          </cell>
        </row>
        <row r="217">
          <cell r="A217" t="str">
            <v>36 X 83</v>
          </cell>
          <cell r="B217">
            <v>3.3</v>
          </cell>
        </row>
        <row r="218">
          <cell r="A218" t="str">
            <v>36 X 100</v>
          </cell>
          <cell r="B218">
            <v>3.37</v>
          </cell>
        </row>
        <row r="219">
          <cell r="A219" t="str">
            <v>36 X 115</v>
          </cell>
          <cell r="B219">
            <v>3.45</v>
          </cell>
        </row>
        <row r="220">
          <cell r="A220" t="str">
            <v>36 X 125</v>
          </cell>
          <cell r="B220">
            <v>3.53</v>
          </cell>
        </row>
        <row r="221">
          <cell r="A221" t="str">
            <v>38 X 25</v>
          </cell>
          <cell r="B221">
            <v>3.22</v>
          </cell>
        </row>
        <row r="222">
          <cell r="A222" t="str">
            <v>38 X 38</v>
          </cell>
          <cell r="B222">
            <v>3.3</v>
          </cell>
        </row>
        <row r="223">
          <cell r="A223" t="str">
            <v>38 X 50</v>
          </cell>
          <cell r="B223">
            <v>3.38</v>
          </cell>
        </row>
        <row r="224">
          <cell r="A224" t="str">
            <v>38 X 63</v>
          </cell>
          <cell r="B224">
            <v>3.46</v>
          </cell>
        </row>
        <row r="225">
          <cell r="A225" t="str">
            <v>38 X 75</v>
          </cell>
          <cell r="B225">
            <v>3.53</v>
          </cell>
        </row>
        <row r="226">
          <cell r="A226" t="str">
            <v>38 X 83</v>
          </cell>
          <cell r="B226">
            <v>3.61</v>
          </cell>
        </row>
        <row r="227">
          <cell r="A227" t="str">
            <v>38 X 100</v>
          </cell>
          <cell r="B227">
            <v>3.69</v>
          </cell>
        </row>
        <row r="228">
          <cell r="A228" t="str">
            <v>38 X 115</v>
          </cell>
          <cell r="B228">
            <v>3.77</v>
          </cell>
        </row>
        <row r="229">
          <cell r="A229" t="str">
            <v>38 X 125</v>
          </cell>
          <cell r="B229">
            <v>3.85</v>
          </cell>
        </row>
        <row r="230">
          <cell r="A230" t="str">
            <v>40 X 25</v>
          </cell>
          <cell r="B230">
            <v>3.38</v>
          </cell>
        </row>
        <row r="231">
          <cell r="A231" t="str">
            <v>40 X 38</v>
          </cell>
          <cell r="B231">
            <v>3.46</v>
          </cell>
        </row>
        <row r="232">
          <cell r="A232" t="str">
            <v>40 X 50</v>
          </cell>
          <cell r="B232">
            <v>3.54</v>
          </cell>
        </row>
        <row r="233">
          <cell r="A233" t="str">
            <v>40 X 63</v>
          </cell>
          <cell r="B233">
            <v>3.62</v>
          </cell>
        </row>
        <row r="234">
          <cell r="A234" t="str">
            <v>40 X 75</v>
          </cell>
          <cell r="B234">
            <v>3.69</v>
          </cell>
        </row>
        <row r="235">
          <cell r="A235" t="str">
            <v>40 X 83</v>
          </cell>
          <cell r="B235">
            <v>3.77</v>
          </cell>
        </row>
        <row r="236">
          <cell r="A236" t="str">
            <v>40 X 100</v>
          </cell>
          <cell r="B236">
            <v>3.85</v>
          </cell>
        </row>
        <row r="237">
          <cell r="A237" t="str">
            <v>40 X 115</v>
          </cell>
          <cell r="B237">
            <v>3.93</v>
          </cell>
        </row>
        <row r="238">
          <cell r="A238" t="str">
            <v>40 X 125</v>
          </cell>
          <cell r="B238">
            <v>4.01</v>
          </cell>
        </row>
        <row r="239">
          <cell r="A239" t="str">
            <v>42 X 25</v>
          </cell>
          <cell r="B239">
            <v>3.54</v>
          </cell>
        </row>
        <row r="240">
          <cell r="A240" t="str">
            <v>42 X 38</v>
          </cell>
          <cell r="B240">
            <v>3.62</v>
          </cell>
        </row>
        <row r="241">
          <cell r="A241" t="str">
            <v>42 X 50</v>
          </cell>
          <cell r="B241">
            <v>3.7</v>
          </cell>
        </row>
        <row r="242">
          <cell r="A242" t="str">
            <v>42 X 63</v>
          </cell>
          <cell r="B242">
            <v>3.78</v>
          </cell>
        </row>
        <row r="243">
          <cell r="A243" t="str">
            <v>42 X 75</v>
          </cell>
          <cell r="B243">
            <v>3.85</v>
          </cell>
        </row>
        <row r="244">
          <cell r="A244" t="str">
            <v>42 X 83</v>
          </cell>
          <cell r="B244">
            <v>3.93</v>
          </cell>
        </row>
        <row r="245">
          <cell r="A245" t="str">
            <v>42 X 100</v>
          </cell>
          <cell r="B245">
            <v>4.01</v>
          </cell>
        </row>
        <row r="246">
          <cell r="A246" t="str">
            <v>42 X 115</v>
          </cell>
          <cell r="B246">
            <v>4.09</v>
          </cell>
        </row>
        <row r="247">
          <cell r="A247" t="str">
            <v>42 X 125</v>
          </cell>
          <cell r="B247">
            <v>4.17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OM's"/>
      <sheetName val="OMsRECEBIDAS"/>
      <sheetName val=" OMsAPROVADAS"/>
      <sheetName val="DADOS_PROG"/>
      <sheetName val="PROG PT"/>
      <sheetName val="OM REC"/>
      <sheetName val="PROG ATZDA"/>
      <sheetName val="DADOS_RDO"/>
      <sheetName val="CONF.HH"/>
      <sheetName val="CONF.HH (2)"/>
      <sheetName val="RDO_NOVO"/>
      <sheetName val="APRV OMs"/>
      <sheetName val="APRV OMs (2)"/>
      <sheetName val="HH"/>
      <sheetName val="FAT.SEMANAL"/>
      <sheetName val="FAT.SEMANAL (2)"/>
      <sheetName val="RES.SEMANAL"/>
      <sheetName val="eneas"/>
      <sheetName val="RDO_ANT"/>
      <sheetName val="FAT.ATIV."/>
      <sheetName val="FAT.ATIV. (2)"/>
      <sheetName val="PROV."/>
      <sheetName val="RES.PROV."/>
      <sheetName val="HISTOGRAMA"/>
      <sheetName val="EXT.HH"/>
      <sheetName val="EXT.HH (2)"/>
      <sheetName val="RES.OMs"/>
      <sheetName val="EMR"/>
      <sheetName val="EMR2"/>
      <sheetName val="MARIANA"/>
      <sheetName val="AFC"/>
      <sheetName val="CONF BM"/>
      <sheetName val="FL ROSTO"/>
      <sheetName val="$MÉDIO"/>
      <sheetName val="oms bm12"/>
      <sheetName val="P LUCAS"/>
      <sheetName val="P PLAN FAT"/>
      <sheetName val="Plan1"/>
    </sheetNames>
    <sheetDataSet>
      <sheetData sheetId="0">
        <row r="5">
          <cell r="B5" t="str">
            <v>Montador Andaime</v>
          </cell>
        </row>
        <row r="6">
          <cell r="B6" t="str">
            <v>Pintor Industrial</v>
          </cell>
        </row>
        <row r="7">
          <cell r="B7" t="str">
            <v>Pintor Letrista</v>
          </cell>
        </row>
        <row r="8">
          <cell r="B8" t="str">
            <v>Isolador</v>
          </cell>
        </row>
        <row r="9">
          <cell r="B9" t="str">
            <v>Funileiro</v>
          </cell>
        </row>
        <row r="10">
          <cell r="B10" t="str">
            <v>Pedreiro</v>
          </cell>
        </row>
        <row r="11">
          <cell r="B11" t="str">
            <v>Carpinteiro</v>
          </cell>
        </row>
        <row r="12">
          <cell r="B12" t="str">
            <v>Supervisor de Qualidade</v>
          </cell>
        </row>
        <row r="13">
          <cell r="B13" t="str">
            <v>Inspetor de Qualidade</v>
          </cell>
        </row>
        <row r="14">
          <cell r="B14" t="str">
            <v>Encarregado</v>
          </cell>
        </row>
        <row r="15">
          <cell r="B15" t="str">
            <v>Técnico de Planejamento</v>
          </cell>
        </row>
        <row r="16">
          <cell r="B16" t="str">
            <v>Técnico de Segurança</v>
          </cell>
        </row>
        <row r="17">
          <cell r="B17" t="str">
            <v>Montador Andaime - H.E.</v>
          </cell>
        </row>
        <row r="18">
          <cell r="B18" t="str">
            <v>Pintor Industrial - H.E.</v>
          </cell>
        </row>
        <row r="19">
          <cell r="B19" t="str">
            <v>Pintor Letrista - H.E.</v>
          </cell>
        </row>
        <row r="20">
          <cell r="B20" t="str">
            <v>Isolador - H.E.</v>
          </cell>
        </row>
        <row r="21">
          <cell r="B21" t="str">
            <v>Funileiro - H.E.</v>
          </cell>
        </row>
        <row r="22">
          <cell r="B22" t="str">
            <v>Pedreiro - H.E.</v>
          </cell>
        </row>
        <row r="23">
          <cell r="B23" t="str">
            <v>Carpinteiro - H.E.</v>
          </cell>
        </row>
        <row r="24">
          <cell r="B24" t="str">
            <v>Supervisor - H.E.</v>
          </cell>
        </row>
        <row r="25">
          <cell r="B25" t="str">
            <v>Encarregado - H.E.</v>
          </cell>
        </row>
        <row r="26">
          <cell r="B26" t="str">
            <v>Líder - H.E.</v>
          </cell>
        </row>
        <row r="27">
          <cell r="B27" t="str">
            <v>Técnico de Planejamento - H.E.</v>
          </cell>
        </row>
        <row r="28">
          <cell r="B28" t="str">
            <v>Técnico de Segurança - H.E.</v>
          </cell>
        </row>
        <row r="29">
          <cell r="B29" t="str">
            <v>Montador Andaime - A. N.</v>
          </cell>
        </row>
        <row r="30">
          <cell r="B30" t="str">
            <v>Pintor Industrial - A. N.</v>
          </cell>
        </row>
        <row r="31">
          <cell r="B31" t="str">
            <v>Pintor Letrista - A. N.</v>
          </cell>
        </row>
        <row r="32">
          <cell r="B32" t="str">
            <v>Isolador - A. N.</v>
          </cell>
        </row>
        <row r="33">
          <cell r="B33" t="str">
            <v>Funileiro - A. N.</v>
          </cell>
        </row>
        <row r="34">
          <cell r="B34" t="str">
            <v>Pedreiro - A. N.</v>
          </cell>
        </row>
        <row r="35">
          <cell r="B35" t="str">
            <v>Carpinteiro - A. N.</v>
          </cell>
        </row>
        <row r="36">
          <cell r="B36" t="str">
            <v>Supervisor de Qualidade - A. N.</v>
          </cell>
        </row>
        <row r="37">
          <cell r="B37" t="str">
            <v>Encarregado - A. N.</v>
          </cell>
        </row>
        <row r="38">
          <cell r="B38" t="str">
            <v>Técnico de Planejamento - A. N.</v>
          </cell>
        </row>
        <row r="39">
          <cell r="B39" t="str">
            <v>Técnico de Segurança - A. N.</v>
          </cell>
        </row>
        <row r="41">
          <cell r="B41" t="str">
            <v>Despesas</v>
          </cell>
        </row>
        <row r="42">
          <cell r="B42" t="str">
            <v>Ajudante</v>
          </cell>
        </row>
        <row r="43">
          <cell r="B43" t="str">
            <v>Ajudante - H.E.</v>
          </cell>
        </row>
        <row r="44">
          <cell r="B44" t="str">
            <v>MOBILIZAÇÃO - 8 DIAS</v>
          </cell>
        </row>
        <row r="45">
          <cell r="B45" t="str">
            <v>FUNÇÃO</v>
          </cell>
        </row>
        <row r="47">
          <cell r="B47" t="str">
            <v>EQUIPE_ANDAIME</v>
          </cell>
        </row>
        <row r="48">
          <cell r="B48" t="str">
            <v>EQUIPE_CIVIL</v>
          </cell>
        </row>
        <row r="49">
          <cell r="B49" t="str">
            <v>EQUIPE_ISOLAMENTO</v>
          </cell>
        </row>
        <row r="50">
          <cell r="B50" t="str">
            <v>EQUIPE_PINTURA</v>
          </cell>
        </row>
        <row r="51">
          <cell r="B51" t="str">
            <v>TOTAL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V"/>
      <sheetName val="Planejado"/>
    </sheet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DADOS"/>
      <sheetName val="DHT"/>
      <sheetName val="DHT (2)"/>
      <sheetName val="DHT_CIVIL"/>
      <sheetName val="TRANSP."/>
      <sheetName val="RATEIO-RMAHD"/>
      <sheetName val="RES.G"/>
      <sheetName val="RES.G (2)"/>
      <sheetName val="RES.1"/>
      <sheetName val="MODELO VALORES"/>
      <sheetName val="ADN_HE"/>
    </sheetNames>
    <sheetDataSet>
      <sheetData sheetId="0">
        <row r="107">
          <cell r="B107" t="str">
            <v>VAN(AP.&amp;RET.)</v>
          </cell>
        </row>
        <row r="108">
          <cell r="B108" t="str">
            <v>VAN(RET.)</v>
          </cell>
        </row>
        <row r="109">
          <cell r="B109" t="str">
            <v>TAXI(AP.&amp;RET.)</v>
          </cell>
        </row>
        <row r="110">
          <cell r="B110" t="str">
            <v>TAXI(RET.)</v>
          </cell>
        </row>
        <row r="111">
          <cell r="B111" t="str">
            <v>N/A</v>
          </cell>
        </row>
        <row r="112">
          <cell r="B112"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ÇOS"/>
      <sheetName val="FONTE"/>
      <sheetName val="EQUIPE"/>
      <sheetName val="CUBO"/>
      <sheetName val="DADOS"/>
      <sheetName val="EQUIPES"/>
      <sheetName val="MOV.AND."/>
      <sheetName val="MAPA"/>
      <sheetName val="SCM"/>
    </sheetNames>
    <sheetDataSet>
      <sheetData sheetId="0" refreshError="1"/>
      <sheetData sheetId="1">
        <row r="87">
          <cell r="B87" t="str">
            <v>IESE</v>
          </cell>
        </row>
        <row r="88">
          <cell r="B88" t="str">
            <v>SAO II</v>
          </cell>
        </row>
        <row r="89">
          <cell r="B89" t="str">
            <v>UA I</v>
          </cell>
        </row>
        <row r="90">
          <cell r="B90" t="str">
            <v>UA II</v>
          </cell>
        </row>
        <row r="91">
          <cell r="B91" t="str">
            <v>UO I</v>
          </cell>
        </row>
        <row r="92">
          <cell r="B92" t="str">
            <v>UO II</v>
          </cell>
        </row>
        <row r="93">
          <cell r="B93" t="str">
            <v>...</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OMsRECEBIDAS"/>
      <sheetName val=" OMsAPROVADAS"/>
      <sheetName val="DADOS_PROG"/>
      <sheetName val="PROG PT"/>
      <sheetName val="OM REC"/>
      <sheetName val="PROG ATZDA"/>
      <sheetName val="DADOS_RDO"/>
      <sheetName val="CONF.HH"/>
      <sheetName val="FAT.SEMANAL"/>
      <sheetName val="RDO_NOVO"/>
      <sheetName val="APRV OMs"/>
      <sheetName val="CORREÇÃO"/>
      <sheetName val="HH"/>
      <sheetName val="FAT.ATIV."/>
      <sheetName val="HISTOGRAMA"/>
      <sheetName val="EXT.HH"/>
      <sheetName val="PLAN.BASE"/>
      <sheetName val="CONF BM"/>
    </sheetNames>
    <sheetDataSet>
      <sheetData sheetId="0">
        <row r="5">
          <cell r="B5" t="str">
            <v>Montador Andaime</v>
          </cell>
        </row>
        <row r="6">
          <cell r="B6" t="str">
            <v>Pintor Industrial</v>
          </cell>
        </row>
        <row r="7">
          <cell r="B7" t="str">
            <v>Pintor Letrista</v>
          </cell>
        </row>
        <row r="8">
          <cell r="B8" t="str">
            <v>Isolador</v>
          </cell>
        </row>
        <row r="9">
          <cell r="B9" t="str">
            <v>Funileiro</v>
          </cell>
        </row>
        <row r="10">
          <cell r="B10" t="str">
            <v>Pedreiro</v>
          </cell>
        </row>
        <row r="11">
          <cell r="B11" t="str">
            <v>Carpinteiro</v>
          </cell>
        </row>
        <row r="12">
          <cell r="B12" t="str">
            <v>Supervisor de Qualidade</v>
          </cell>
        </row>
        <row r="13">
          <cell r="B13" t="str">
            <v>Inspetor de Qualidade</v>
          </cell>
        </row>
        <row r="14">
          <cell r="B14" t="str">
            <v>Encarregado</v>
          </cell>
        </row>
        <row r="15">
          <cell r="B15" t="str">
            <v>Técnico de Planejamento</v>
          </cell>
        </row>
        <row r="16">
          <cell r="B16" t="str">
            <v>Técnico de Segurança</v>
          </cell>
        </row>
        <row r="17">
          <cell r="B17" t="str">
            <v>Montador Andaime - H.E.</v>
          </cell>
        </row>
        <row r="18">
          <cell r="B18" t="str">
            <v>Pintor Industrial - H.E.</v>
          </cell>
        </row>
        <row r="19">
          <cell r="B19" t="str">
            <v>Pintor Letrista - H.E.</v>
          </cell>
        </row>
        <row r="20">
          <cell r="B20" t="str">
            <v>Isolador - H.E.</v>
          </cell>
        </row>
        <row r="21">
          <cell r="B21" t="str">
            <v>Funileiro - H.E.</v>
          </cell>
        </row>
        <row r="22">
          <cell r="B22" t="str">
            <v>Pedreiro - H.E.</v>
          </cell>
        </row>
        <row r="23">
          <cell r="B23" t="str">
            <v>Carpinteiro - H.E.</v>
          </cell>
        </row>
        <row r="24">
          <cell r="B24" t="str">
            <v>Supervisor - H.E.</v>
          </cell>
        </row>
        <row r="25">
          <cell r="B25" t="str">
            <v>Encarregado - H.E.</v>
          </cell>
        </row>
        <row r="26">
          <cell r="B26" t="str">
            <v>Técnico de Planejamento - H.E.</v>
          </cell>
        </row>
        <row r="27">
          <cell r="B27" t="str">
            <v>Técnico de Segurança - H.E.</v>
          </cell>
        </row>
        <row r="28">
          <cell r="B28" t="str">
            <v>Montador Andaime - A. N.</v>
          </cell>
        </row>
        <row r="29">
          <cell r="B29" t="str">
            <v>Pintor Industrial - A. N.</v>
          </cell>
        </row>
        <row r="30">
          <cell r="B30" t="str">
            <v>Pintor Letrista - A. N.</v>
          </cell>
        </row>
        <row r="31">
          <cell r="B31" t="str">
            <v>Isolador - A. N.</v>
          </cell>
        </row>
        <row r="32">
          <cell r="B32" t="str">
            <v>Funileiro - A. N.</v>
          </cell>
        </row>
        <row r="33">
          <cell r="B33" t="str">
            <v>Pedreiro - A. N.</v>
          </cell>
        </row>
        <row r="34">
          <cell r="B34" t="str">
            <v>Carpinteiro - A. N.</v>
          </cell>
        </row>
        <row r="35">
          <cell r="B35" t="str">
            <v>Supervisor de Qualidade - A. N.</v>
          </cell>
        </row>
        <row r="36">
          <cell r="B36" t="str">
            <v>Encarregado - A. N.</v>
          </cell>
        </row>
        <row r="37">
          <cell r="B37" t="str">
            <v>Técnico de Planejamento - A. N.</v>
          </cell>
        </row>
        <row r="38">
          <cell r="B38" t="str">
            <v>Técnico de Segurança - A. N.</v>
          </cell>
        </row>
        <row r="40">
          <cell r="B40" t="str">
            <v>Despesas</v>
          </cell>
        </row>
        <row r="41">
          <cell r="B41" t="str">
            <v>Ajudante</v>
          </cell>
        </row>
        <row r="42">
          <cell r="B42" t="str">
            <v>Ajudante - H.E.</v>
          </cell>
        </row>
        <row r="43">
          <cell r="B43" t="str">
            <v>MOBILIZAÇÃO - 8 DIAS</v>
          </cell>
        </row>
        <row r="44">
          <cell r="B44" t="str">
            <v>FUNÇÃO</v>
          </cell>
        </row>
        <row r="46">
          <cell r="B46" t="str">
            <v>EQUIPE_ANDAIME</v>
          </cell>
        </row>
        <row r="47">
          <cell r="B47" t="str">
            <v>EQUIPE_CIVIL</v>
          </cell>
        </row>
        <row r="48">
          <cell r="B48" t="str">
            <v>EQUIPE_ISOLAMENTO</v>
          </cell>
        </row>
        <row r="49">
          <cell r="B49" t="str">
            <v>EQUIPE_PINTURA</v>
          </cell>
        </row>
        <row r="50">
          <cell r="B50" t="str">
            <v>TOTAL</v>
          </cell>
        </row>
      </sheetData>
      <sheetData sheetId="1" refreshError="1"/>
      <sheetData sheetId="2" refreshError="1"/>
      <sheetData sheetId="3">
        <row r="8">
          <cell r="E8">
            <v>973338223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A PID"/>
      <sheetName val="CD-315C"/>
      <sheetName val="CD-402"/>
      <sheetName val="CE-202"/>
      <sheetName val="CE-300"/>
      <sheetName val="CE-351"/>
      <sheetName val="CE-402"/>
      <sheetName val="CD-217 "/>
      <sheetName val="CD-265"/>
      <sheetName val="CEV-404 "/>
      <sheetName val="CEV-401"/>
      <sheetName val="CD-303 "/>
      <sheetName val="CVL-401A"/>
    </sheetNames>
    <sheetDataSet>
      <sheetData sheetId="0" refreshError="1">
        <row r="4">
          <cell r="A4">
            <v>0</v>
          </cell>
          <cell r="B4">
            <v>0</v>
          </cell>
        </row>
        <row r="5">
          <cell r="A5" t="str">
            <v>1/2 X 25</v>
          </cell>
          <cell r="B5">
            <v>0.26</v>
          </cell>
        </row>
        <row r="6">
          <cell r="A6" t="str">
            <v>1/2 X 38</v>
          </cell>
          <cell r="B6">
            <v>0.33</v>
          </cell>
        </row>
        <row r="7">
          <cell r="A7" t="str">
            <v>1/2 X 50</v>
          </cell>
          <cell r="B7">
            <v>0.41</v>
          </cell>
        </row>
        <row r="8">
          <cell r="A8" t="str">
            <v>1/2 X 63</v>
          </cell>
          <cell r="B8">
            <v>0.49</v>
          </cell>
        </row>
        <row r="9">
          <cell r="A9" t="str">
            <v>1/2 X 75</v>
          </cell>
          <cell r="B9">
            <v>0.56999999999999995</v>
          </cell>
        </row>
        <row r="10">
          <cell r="A10" t="str">
            <v>1/2 X 83</v>
          </cell>
          <cell r="B10">
            <v>0.65</v>
          </cell>
        </row>
        <row r="11">
          <cell r="A11" t="str">
            <v>1/2 X 100</v>
          </cell>
          <cell r="B11">
            <v>0.73</v>
          </cell>
        </row>
        <row r="12">
          <cell r="A12" t="str">
            <v>1/2 X 115</v>
          </cell>
          <cell r="B12">
            <v>0.81</v>
          </cell>
        </row>
        <row r="13">
          <cell r="A13" t="str">
            <v>1/2 X 125</v>
          </cell>
          <cell r="B13">
            <v>0.88</v>
          </cell>
        </row>
        <row r="14">
          <cell r="A14" t="str">
            <v>3/4 X 25</v>
          </cell>
          <cell r="B14">
            <v>0.27</v>
          </cell>
        </row>
        <row r="15">
          <cell r="A15" t="str">
            <v>3/4 X 38</v>
          </cell>
          <cell r="B15">
            <v>0.35</v>
          </cell>
        </row>
        <row r="16">
          <cell r="A16" t="str">
            <v>3/4 X 50</v>
          </cell>
          <cell r="B16">
            <v>0.43</v>
          </cell>
        </row>
        <row r="17">
          <cell r="A17" t="str">
            <v>3/4 X 63</v>
          </cell>
          <cell r="B17">
            <v>0.51</v>
          </cell>
        </row>
        <row r="18">
          <cell r="A18" t="str">
            <v>3/4 X 75</v>
          </cell>
          <cell r="B18">
            <v>0.59</v>
          </cell>
        </row>
        <row r="19">
          <cell r="A19" t="str">
            <v>3/4 X 83</v>
          </cell>
          <cell r="B19">
            <v>0.66</v>
          </cell>
        </row>
        <row r="20">
          <cell r="A20" t="str">
            <v>3/4 X 100</v>
          </cell>
          <cell r="B20">
            <v>0.74</v>
          </cell>
        </row>
        <row r="21">
          <cell r="A21" t="str">
            <v>3/4 X 115</v>
          </cell>
          <cell r="B21">
            <v>0.82</v>
          </cell>
        </row>
        <row r="22">
          <cell r="A22" t="str">
            <v>3/4 X 125</v>
          </cell>
          <cell r="B22">
            <v>0.9</v>
          </cell>
        </row>
        <row r="23">
          <cell r="A23" t="str">
            <v>1 X 25</v>
          </cell>
          <cell r="B23">
            <v>0.28999999999999998</v>
          </cell>
        </row>
        <row r="24">
          <cell r="A24" t="str">
            <v>1 X 38</v>
          </cell>
          <cell r="B24">
            <v>0.37</v>
          </cell>
        </row>
        <row r="25">
          <cell r="A25" t="str">
            <v>1 X 50</v>
          </cell>
          <cell r="B25">
            <v>0.45</v>
          </cell>
        </row>
        <row r="26">
          <cell r="A26" t="str">
            <v>1 X 63</v>
          </cell>
          <cell r="B26">
            <v>0.53</v>
          </cell>
        </row>
        <row r="27">
          <cell r="A27" t="str">
            <v>1 X 75</v>
          </cell>
          <cell r="B27">
            <v>0.61</v>
          </cell>
        </row>
        <row r="28">
          <cell r="A28" t="str">
            <v>1 X 83</v>
          </cell>
          <cell r="B28">
            <v>0.69</v>
          </cell>
        </row>
        <row r="29">
          <cell r="A29" t="str">
            <v>1 X 100</v>
          </cell>
          <cell r="B29">
            <v>0.76</v>
          </cell>
        </row>
        <row r="30">
          <cell r="A30" t="str">
            <v>1 X 115</v>
          </cell>
          <cell r="B30">
            <v>0.84</v>
          </cell>
        </row>
        <row r="31">
          <cell r="A31" t="str">
            <v>1 X 125</v>
          </cell>
          <cell r="B31">
            <v>0.92</v>
          </cell>
        </row>
        <row r="32">
          <cell r="A32" t="str">
            <v>1 1/2 X 25</v>
          </cell>
          <cell r="B32">
            <v>0.34</v>
          </cell>
        </row>
        <row r="33">
          <cell r="A33" t="str">
            <v>1 1/2 X 38</v>
          </cell>
          <cell r="B33">
            <v>0.42</v>
          </cell>
        </row>
        <row r="34">
          <cell r="A34" t="str">
            <v>1 1/2 X 50</v>
          </cell>
          <cell r="B34">
            <v>0.5</v>
          </cell>
        </row>
        <row r="35">
          <cell r="A35" t="str">
            <v>1 1/2 X 63</v>
          </cell>
          <cell r="B35">
            <v>0.57999999999999996</v>
          </cell>
        </row>
        <row r="36">
          <cell r="A36" t="str">
            <v>1 1/2 X 75</v>
          </cell>
          <cell r="B36">
            <v>0.65</v>
          </cell>
        </row>
        <row r="37">
          <cell r="A37" t="str">
            <v>1 1/2 X 83</v>
          </cell>
          <cell r="B37">
            <v>0.73</v>
          </cell>
        </row>
        <row r="38">
          <cell r="A38" t="str">
            <v>1 1/2 X 100</v>
          </cell>
          <cell r="B38">
            <v>0.81</v>
          </cell>
        </row>
        <row r="39">
          <cell r="A39" t="str">
            <v>1 1/2 X 115</v>
          </cell>
          <cell r="B39">
            <v>0.89</v>
          </cell>
        </row>
        <row r="40">
          <cell r="A40" t="str">
            <v>1 1/2X 125</v>
          </cell>
          <cell r="B40">
            <v>0.97</v>
          </cell>
        </row>
        <row r="41">
          <cell r="A41" t="str">
            <v>2 X 25</v>
          </cell>
          <cell r="B41">
            <v>0.38</v>
          </cell>
        </row>
        <row r="42">
          <cell r="A42" t="str">
            <v>2 X 38</v>
          </cell>
          <cell r="B42">
            <v>0.46</v>
          </cell>
        </row>
        <row r="43">
          <cell r="A43" t="str">
            <v>2 X 50</v>
          </cell>
          <cell r="B43">
            <v>0.54</v>
          </cell>
        </row>
        <row r="44">
          <cell r="A44" t="str">
            <v>2 X 63</v>
          </cell>
          <cell r="B44">
            <v>0.61</v>
          </cell>
        </row>
        <row r="45">
          <cell r="A45" t="str">
            <v>2 X 75</v>
          </cell>
          <cell r="B45">
            <v>0.69</v>
          </cell>
        </row>
        <row r="46">
          <cell r="A46" t="str">
            <v>2 X 83</v>
          </cell>
          <cell r="B46">
            <v>0.77</v>
          </cell>
        </row>
        <row r="47">
          <cell r="A47" t="str">
            <v>2 X 100</v>
          </cell>
          <cell r="B47">
            <v>0.85</v>
          </cell>
        </row>
        <row r="48">
          <cell r="A48" t="str">
            <v>2 X 115</v>
          </cell>
          <cell r="B48">
            <v>0.93</v>
          </cell>
        </row>
        <row r="49">
          <cell r="A49" t="str">
            <v>2X 125</v>
          </cell>
          <cell r="B49">
            <v>1.01</v>
          </cell>
        </row>
        <row r="50">
          <cell r="A50" t="str">
            <v>2 1/2 X 25</v>
          </cell>
          <cell r="B50">
            <v>0.42</v>
          </cell>
        </row>
        <row r="51">
          <cell r="A51" t="str">
            <v>2 1/2 X 38</v>
          </cell>
          <cell r="B51">
            <v>0.5</v>
          </cell>
        </row>
        <row r="52">
          <cell r="A52" t="str">
            <v>2 1/2 X 50</v>
          </cell>
          <cell r="B52">
            <v>0.56999999999999995</v>
          </cell>
        </row>
        <row r="53">
          <cell r="A53" t="str">
            <v>2 1/2 X 63</v>
          </cell>
          <cell r="B53">
            <v>0.65</v>
          </cell>
        </row>
        <row r="54">
          <cell r="A54" t="str">
            <v>2 1/2 X 75</v>
          </cell>
          <cell r="B54">
            <v>0.73</v>
          </cell>
        </row>
        <row r="55">
          <cell r="A55" t="str">
            <v>2 1/2 X 83</v>
          </cell>
          <cell r="B55">
            <v>0.81</v>
          </cell>
        </row>
        <row r="56">
          <cell r="A56" t="str">
            <v>2 1/2X 100</v>
          </cell>
          <cell r="B56">
            <v>0.89</v>
          </cell>
        </row>
        <row r="57">
          <cell r="A57" t="str">
            <v>2 1/2 X 115</v>
          </cell>
          <cell r="B57">
            <v>0.97</v>
          </cell>
        </row>
        <row r="58">
          <cell r="A58" t="str">
            <v>2 1/2 X 125</v>
          </cell>
          <cell r="B58">
            <v>1.05</v>
          </cell>
        </row>
        <row r="59">
          <cell r="A59" t="str">
            <v>3 X 25</v>
          </cell>
          <cell r="B59">
            <v>0.47</v>
          </cell>
        </row>
        <row r="60">
          <cell r="A60" t="str">
            <v>3 X 38</v>
          </cell>
          <cell r="B60">
            <v>0.55000000000000004</v>
          </cell>
        </row>
        <row r="61">
          <cell r="A61" t="str">
            <v>3 X 50</v>
          </cell>
          <cell r="B61">
            <v>0.62</v>
          </cell>
        </row>
        <row r="62">
          <cell r="A62" t="str">
            <v>3 X 63</v>
          </cell>
          <cell r="B62">
            <v>0.7</v>
          </cell>
        </row>
        <row r="63">
          <cell r="A63" t="str">
            <v>3 X 75</v>
          </cell>
          <cell r="B63">
            <v>0.78</v>
          </cell>
        </row>
        <row r="64">
          <cell r="A64" t="str">
            <v>3 X 83</v>
          </cell>
          <cell r="B64">
            <v>0.86</v>
          </cell>
        </row>
        <row r="65">
          <cell r="A65" t="str">
            <v>3 X 100</v>
          </cell>
          <cell r="B65">
            <v>0.94</v>
          </cell>
        </row>
        <row r="66">
          <cell r="A66" t="str">
            <v>3 X 115</v>
          </cell>
          <cell r="B66">
            <v>1.02</v>
          </cell>
        </row>
        <row r="67">
          <cell r="A67" t="str">
            <v>3 X 125</v>
          </cell>
          <cell r="B67">
            <v>1.1000000000000001</v>
          </cell>
        </row>
        <row r="68">
          <cell r="A68" t="str">
            <v>4 X 25</v>
          </cell>
          <cell r="B68">
            <v>0.55000000000000004</v>
          </cell>
        </row>
        <row r="69">
          <cell r="A69" t="str">
            <v>4 X 38</v>
          </cell>
          <cell r="B69">
            <v>0.63</v>
          </cell>
        </row>
        <row r="70">
          <cell r="A70" t="str">
            <v>4 X 50</v>
          </cell>
          <cell r="B70">
            <v>0.71</v>
          </cell>
        </row>
        <row r="71">
          <cell r="A71" t="str">
            <v>4 X 63</v>
          </cell>
          <cell r="B71">
            <v>0.79</v>
          </cell>
        </row>
        <row r="72">
          <cell r="A72" t="str">
            <v>4 X 75</v>
          </cell>
          <cell r="B72">
            <v>0.87</v>
          </cell>
        </row>
        <row r="73">
          <cell r="A73" t="str">
            <v>4 X 83</v>
          </cell>
          <cell r="B73">
            <v>0.95</v>
          </cell>
        </row>
        <row r="74">
          <cell r="A74" t="str">
            <v>4 X 100</v>
          </cell>
          <cell r="B74">
            <v>1.03</v>
          </cell>
        </row>
        <row r="75">
          <cell r="A75" t="str">
            <v>4 X 115</v>
          </cell>
          <cell r="B75">
            <v>1.1000000000000001</v>
          </cell>
        </row>
        <row r="76">
          <cell r="A76" t="str">
            <v>4 X 125</v>
          </cell>
          <cell r="B76">
            <v>1.18</v>
          </cell>
        </row>
        <row r="77">
          <cell r="A77" t="str">
            <v>6 X 25</v>
          </cell>
          <cell r="B77">
            <v>0.55000000000000004</v>
          </cell>
        </row>
        <row r="78">
          <cell r="A78" t="str">
            <v>6 X 38</v>
          </cell>
          <cell r="B78">
            <v>0.72</v>
          </cell>
        </row>
        <row r="79">
          <cell r="A79" t="str">
            <v>6 X 50</v>
          </cell>
          <cell r="B79">
            <v>0.8</v>
          </cell>
        </row>
        <row r="80">
          <cell r="A80" t="str">
            <v>6 X 63</v>
          </cell>
          <cell r="B80">
            <v>0.87</v>
          </cell>
        </row>
        <row r="81">
          <cell r="A81" t="str">
            <v>6 X 75</v>
          </cell>
          <cell r="B81">
            <v>0.95</v>
          </cell>
        </row>
        <row r="82">
          <cell r="A82" t="str">
            <v>6 X 83</v>
          </cell>
          <cell r="B82">
            <v>1.03</v>
          </cell>
        </row>
        <row r="83">
          <cell r="A83" t="str">
            <v>6 X 100</v>
          </cell>
          <cell r="B83">
            <v>1.1100000000000001</v>
          </cell>
        </row>
        <row r="84">
          <cell r="A84" t="str">
            <v>6 X 115</v>
          </cell>
          <cell r="B84">
            <v>1.19</v>
          </cell>
        </row>
        <row r="85">
          <cell r="A85" t="str">
            <v>6 X 125</v>
          </cell>
          <cell r="B85">
            <v>1.27</v>
          </cell>
        </row>
        <row r="86">
          <cell r="A86" t="str">
            <v>8 X 25</v>
          </cell>
          <cell r="B86">
            <v>0.88</v>
          </cell>
        </row>
        <row r="87">
          <cell r="A87" t="str">
            <v>8 X 38</v>
          </cell>
          <cell r="B87">
            <v>0.96</v>
          </cell>
        </row>
        <row r="88">
          <cell r="A88" t="str">
            <v>8 X 50</v>
          </cell>
          <cell r="B88">
            <v>1.03</v>
          </cell>
        </row>
        <row r="89">
          <cell r="A89" t="str">
            <v>8 X 63</v>
          </cell>
          <cell r="B89">
            <v>1.1100000000000001</v>
          </cell>
        </row>
        <row r="90">
          <cell r="A90" t="str">
            <v>8 X 75</v>
          </cell>
          <cell r="B90">
            <v>1.19</v>
          </cell>
        </row>
        <row r="91">
          <cell r="A91" t="str">
            <v>8 X 83</v>
          </cell>
          <cell r="B91">
            <v>1.27</v>
          </cell>
        </row>
        <row r="92">
          <cell r="A92" t="str">
            <v>8 X 100</v>
          </cell>
          <cell r="B92">
            <v>1.35</v>
          </cell>
        </row>
        <row r="93">
          <cell r="A93" t="str">
            <v>8 X 115</v>
          </cell>
          <cell r="B93">
            <v>1.43</v>
          </cell>
        </row>
        <row r="94">
          <cell r="A94" t="str">
            <v>8 X 125</v>
          </cell>
          <cell r="B94">
            <v>1.51</v>
          </cell>
        </row>
        <row r="95">
          <cell r="A95" t="str">
            <v>10 X 25</v>
          </cell>
          <cell r="B95">
            <v>1.05</v>
          </cell>
        </row>
        <row r="96">
          <cell r="A96" t="str">
            <v>10 X 38</v>
          </cell>
          <cell r="B96">
            <v>1.1299999999999999</v>
          </cell>
        </row>
        <row r="97">
          <cell r="A97" t="str">
            <v>10 X 50</v>
          </cell>
          <cell r="B97">
            <v>1.2</v>
          </cell>
        </row>
        <row r="98">
          <cell r="A98" t="str">
            <v>10 X 63</v>
          </cell>
          <cell r="B98">
            <v>1.28</v>
          </cell>
        </row>
        <row r="99">
          <cell r="A99" t="str">
            <v>10 X 75</v>
          </cell>
          <cell r="B99">
            <v>1.36</v>
          </cell>
        </row>
        <row r="100">
          <cell r="A100" t="str">
            <v>10 X 83</v>
          </cell>
          <cell r="B100">
            <v>1.44</v>
          </cell>
        </row>
        <row r="101">
          <cell r="A101" t="str">
            <v>10 X 100</v>
          </cell>
          <cell r="B101">
            <v>1.52</v>
          </cell>
        </row>
        <row r="102">
          <cell r="A102" t="str">
            <v>10 X 115</v>
          </cell>
          <cell r="B102">
            <v>1.6</v>
          </cell>
        </row>
        <row r="103">
          <cell r="A103" t="str">
            <v>10 X 125</v>
          </cell>
          <cell r="B103">
            <v>1.67</v>
          </cell>
        </row>
        <row r="104">
          <cell r="A104" t="str">
            <v>12 X 25</v>
          </cell>
          <cell r="B104">
            <v>1.21</v>
          </cell>
        </row>
        <row r="105">
          <cell r="A105" t="str">
            <v>12 X 38</v>
          </cell>
          <cell r="B105">
            <v>1.28</v>
          </cell>
        </row>
        <row r="106">
          <cell r="A106" t="str">
            <v>12 X 50</v>
          </cell>
          <cell r="B106">
            <v>1.36</v>
          </cell>
        </row>
        <row r="107">
          <cell r="A107" t="str">
            <v>12 X 63</v>
          </cell>
          <cell r="B107">
            <v>1.44</v>
          </cell>
        </row>
        <row r="108">
          <cell r="A108" t="str">
            <v>12 X 75</v>
          </cell>
          <cell r="B108">
            <v>1.52</v>
          </cell>
        </row>
        <row r="109">
          <cell r="A109" t="str">
            <v>12 X 83</v>
          </cell>
          <cell r="B109">
            <v>1.6</v>
          </cell>
        </row>
        <row r="110">
          <cell r="A110" t="str">
            <v>12 X 100</v>
          </cell>
          <cell r="B110">
            <v>1.68</v>
          </cell>
        </row>
        <row r="111">
          <cell r="A111" t="str">
            <v>12 X 115</v>
          </cell>
          <cell r="B111">
            <v>1.76</v>
          </cell>
        </row>
        <row r="112">
          <cell r="A112" t="str">
            <v>12 X 125</v>
          </cell>
          <cell r="B112">
            <v>1.83</v>
          </cell>
        </row>
        <row r="113">
          <cell r="A113" t="str">
            <v>14 X 25</v>
          </cell>
          <cell r="B113">
            <v>1.31</v>
          </cell>
        </row>
        <row r="114">
          <cell r="A114" t="str">
            <v>14 X 38</v>
          </cell>
          <cell r="B114">
            <v>1.38</v>
          </cell>
        </row>
        <row r="115">
          <cell r="A115" t="str">
            <v>14 X 50</v>
          </cell>
          <cell r="B115">
            <v>1.46</v>
          </cell>
        </row>
        <row r="116">
          <cell r="A116" t="str">
            <v>14 X 63</v>
          </cell>
          <cell r="B116">
            <v>1.54</v>
          </cell>
        </row>
        <row r="117">
          <cell r="A117" t="str">
            <v>14 X 75</v>
          </cell>
          <cell r="B117">
            <v>1.62</v>
          </cell>
        </row>
        <row r="118">
          <cell r="A118" t="str">
            <v>14 X 83</v>
          </cell>
          <cell r="B118">
            <v>1.7</v>
          </cell>
        </row>
        <row r="119">
          <cell r="A119" t="str">
            <v>14 X 100</v>
          </cell>
          <cell r="B119">
            <v>1.78</v>
          </cell>
        </row>
        <row r="120">
          <cell r="A120" t="str">
            <v>14 X 115</v>
          </cell>
          <cell r="B120">
            <v>1.86</v>
          </cell>
        </row>
        <row r="121">
          <cell r="A121" t="str">
            <v>14 X 125</v>
          </cell>
          <cell r="B121">
            <v>1.93</v>
          </cell>
        </row>
        <row r="122">
          <cell r="A122" t="str">
            <v>16 X 25</v>
          </cell>
          <cell r="B122">
            <v>1.47</v>
          </cell>
        </row>
        <row r="123">
          <cell r="A123" t="str">
            <v>16 X 38</v>
          </cell>
          <cell r="B123">
            <v>1.54</v>
          </cell>
        </row>
        <row r="124">
          <cell r="A124" t="str">
            <v>16 X 50</v>
          </cell>
          <cell r="B124">
            <v>1.62</v>
          </cell>
        </row>
        <row r="125">
          <cell r="A125" t="str">
            <v>16 X 63</v>
          </cell>
          <cell r="B125">
            <v>1.7</v>
          </cell>
        </row>
        <row r="126">
          <cell r="A126" t="str">
            <v>16 X 75</v>
          </cell>
          <cell r="B126">
            <v>1.78</v>
          </cell>
        </row>
        <row r="127">
          <cell r="A127" t="str">
            <v>16 X 83</v>
          </cell>
          <cell r="B127">
            <v>1.86</v>
          </cell>
        </row>
        <row r="128">
          <cell r="A128" t="str">
            <v>16 X 100</v>
          </cell>
          <cell r="B128">
            <v>1.94</v>
          </cell>
        </row>
        <row r="129">
          <cell r="A129" t="str">
            <v>16 X 115</v>
          </cell>
          <cell r="B129">
            <v>2.02</v>
          </cell>
        </row>
        <row r="130">
          <cell r="A130" t="str">
            <v>16 X 125</v>
          </cell>
          <cell r="B130">
            <v>2.09</v>
          </cell>
        </row>
        <row r="131">
          <cell r="A131" t="str">
            <v>18 X 25</v>
          </cell>
          <cell r="B131">
            <v>1.62</v>
          </cell>
        </row>
        <row r="132">
          <cell r="A132" t="str">
            <v>18 X 38</v>
          </cell>
          <cell r="B132">
            <v>1.7</v>
          </cell>
        </row>
        <row r="133">
          <cell r="A133" t="str">
            <v>18 X 50</v>
          </cell>
          <cell r="B133">
            <v>1.78</v>
          </cell>
        </row>
        <row r="134">
          <cell r="A134" t="str">
            <v>18 X 63</v>
          </cell>
          <cell r="B134">
            <v>1.8</v>
          </cell>
        </row>
        <row r="135">
          <cell r="A135" t="str">
            <v>18 X 75</v>
          </cell>
          <cell r="B135">
            <v>1.94</v>
          </cell>
        </row>
        <row r="136">
          <cell r="A136" t="str">
            <v>18 X 83</v>
          </cell>
          <cell r="B136">
            <v>2.02</v>
          </cell>
        </row>
        <row r="137">
          <cell r="A137" t="str">
            <v>18 X 100</v>
          </cell>
          <cell r="B137">
            <v>2.1</v>
          </cell>
        </row>
        <row r="138">
          <cell r="A138" t="str">
            <v>18 X 115</v>
          </cell>
          <cell r="B138">
            <v>2.17</v>
          </cell>
        </row>
        <row r="139">
          <cell r="A139" t="str">
            <v>18 X 125</v>
          </cell>
          <cell r="B139">
            <v>2.25</v>
          </cell>
        </row>
        <row r="140">
          <cell r="A140" t="str">
            <v>20 X 25</v>
          </cell>
          <cell r="B140">
            <v>1.78</v>
          </cell>
        </row>
        <row r="141">
          <cell r="A141" t="str">
            <v>20 X 38</v>
          </cell>
          <cell r="B141">
            <v>1.86</v>
          </cell>
        </row>
        <row r="142">
          <cell r="A142" t="str">
            <v>20 X 50</v>
          </cell>
          <cell r="B142">
            <v>1.94</v>
          </cell>
        </row>
        <row r="143">
          <cell r="A143" t="str">
            <v>20 X 63</v>
          </cell>
          <cell r="B143">
            <v>2.02</v>
          </cell>
        </row>
        <row r="144">
          <cell r="A144" t="str">
            <v>20 X 75</v>
          </cell>
          <cell r="B144">
            <v>2.1</v>
          </cell>
        </row>
        <row r="145">
          <cell r="A145" t="str">
            <v>20 X 83</v>
          </cell>
          <cell r="B145">
            <v>2.1800000000000002</v>
          </cell>
        </row>
        <row r="146">
          <cell r="A146" t="str">
            <v>20 X 100</v>
          </cell>
          <cell r="B146">
            <v>2.2599999999999998</v>
          </cell>
        </row>
        <row r="147">
          <cell r="A147" t="str">
            <v>20 X 115</v>
          </cell>
          <cell r="B147">
            <v>2.33</v>
          </cell>
        </row>
        <row r="148">
          <cell r="A148" t="str">
            <v>20 X 125</v>
          </cell>
          <cell r="B148">
            <v>2.41</v>
          </cell>
        </row>
        <row r="149">
          <cell r="A149" t="str">
            <v>22 X 25</v>
          </cell>
          <cell r="B149">
            <v>1.94</v>
          </cell>
        </row>
        <row r="150">
          <cell r="A150" t="str">
            <v>22 X 38</v>
          </cell>
          <cell r="B150">
            <v>2.02</v>
          </cell>
        </row>
        <row r="151">
          <cell r="A151" t="str">
            <v>22 X 50</v>
          </cell>
          <cell r="B151">
            <v>2.1</v>
          </cell>
        </row>
        <row r="152">
          <cell r="A152" t="str">
            <v>22 X 63</v>
          </cell>
          <cell r="B152">
            <v>2.1800000000000002</v>
          </cell>
        </row>
        <row r="153">
          <cell r="A153" t="str">
            <v>22 X 75</v>
          </cell>
          <cell r="B153">
            <v>2.2599999999999998</v>
          </cell>
        </row>
        <row r="154">
          <cell r="A154" t="str">
            <v>22 X 83</v>
          </cell>
          <cell r="B154">
            <v>2.34</v>
          </cell>
        </row>
        <row r="155">
          <cell r="A155" t="str">
            <v>22 X 100</v>
          </cell>
          <cell r="B155">
            <v>2.42</v>
          </cell>
        </row>
        <row r="156">
          <cell r="A156" t="str">
            <v>22 X 115</v>
          </cell>
          <cell r="B156">
            <v>2.4900000000000002</v>
          </cell>
        </row>
        <row r="157">
          <cell r="A157" t="str">
            <v>22 X 125</v>
          </cell>
          <cell r="B157">
            <v>2.57</v>
          </cell>
        </row>
        <row r="158">
          <cell r="A158" t="str">
            <v>24 X 25</v>
          </cell>
          <cell r="B158">
            <v>2.1</v>
          </cell>
        </row>
        <row r="159">
          <cell r="A159" t="str">
            <v>24 X 38</v>
          </cell>
          <cell r="B159">
            <v>2.1800000000000002</v>
          </cell>
        </row>
        <row r="160">
          <cell r="A160" t="str">
            <v>24 X 50</v>
          </cell>
          <cell r="B160">
            <v>2.2599999999999998</v>
          </cell>
        </row>
        <row r="161">
          <cell r="A161" t="str">
            <v>24 X 63</v>
          </cell>
          <cell r="B161">
            <v>2.34</v>
          </cell>
        </row>
        <row r="162">
          <cell r="A162" t="str">
            <v>24 X 75</v>
          </cell>
          <cell r="B162">
            <v>2.42</v>
          </cell>
        </row>
        <row r="163">
          <cell r="A163" t="str">
            <v>24 X 83</v>
          </cell>
          <cell r="B163">
            <v>2.5</v>
          </cell>
        </row>
        <row r="164">
          <cell r="A164" t="str">
            <v>24 X 100</v>
          </cell>
          <cell r="B164">
            <v>2.58</v>
          </cell>
        </row>
        <row r="165">
          <cell r="A165" t="str">
            <v>24 X 115</v>
          </cell>
          <cell r="B165">
            <v>2.65</v>
          </cell>
        </row>
        <row r="166">
          <cell r="A166" t="str">
            <v>24 X 125</v>
          </cell>
          <cell r="B166">
            <v>2.73</v>
          </cell>
        </row>
        <row r="167">
          <cell r="A167" t="str">
            <v>26 X 25</v>
          </cell>
          <cell r="B167">
            <v>2.2599999999999998</v>
          </cell>
        </row>
        <row r="168">
          <cell r="A168" t="str">
            <v>26 X 38</v>
          </cell>
          <cell r="B168">
            <v>2.34</v>
          </cell>
        </row>
        <row r="169">
          <cell r="A169" t="str">
            <v>26 X 50</v>
          </cell>
          <cell r="B169">
            <v>2.42</v>
          </cell>
        </row>
        <row r="170">
          <cell r="A170" t="str">
            <v>26 X 63</v>
          </cell>
          <cell r="B170">
            <v>2.5</v>
          </cell>
        </row>
        <row r="171">
          <cell r="A171" t="str">
            <v>26 X 75</v>
          </cell>
          <cell r="B171">
            <v>2.58</v>
          </cell>
        </row>
        <row r="172">
          <cell r="A172" t="str">
            <v>26 X 83</v>
          </cell>
          <cell r="B172">
            <v>2.65</v>
          </cell>
        </row>
        <row r="173">
          <cell r="A173" t="str">
            <v>26 X 100</v>
          </cell>
          <cell r="B173">
            <v>2.73</v>
          </cell>
        </row>
        <row r="174">
          <cell r="A174" t="str">
            <v>26 X 115</v>
          </cell>
          <cell r="B174">
            <v>2.81</v>
          </cell>
        </row>
        <row r="175">
          <cell r="A175" t="str">
            <v>26 X 125</v>
          </cell>
          <cell r="B175">
            <v>2.89</v>
          </cell>
        </row>
        <row r="176">
          <cell r="A176" t="str">
            <v>28 X 25</v>
          </cell>
          <cell r="B176">
            <v>2.42</v>
          </cell>
        </row>
        <row r="177">
          <cell r="A177" t="str">
            <v>28 X 38</v>
          </cell>
          <cell r="B177">
            <v>2.5</v>
          </cell>
        </row>
        <row r="178">
          <cell r="A178" t="str">
            <v>28 X 50</v>
          </cell>
          <cell r="B178">
            <v>2.58</v>
          </cell>
        </row>
        <row r="179">
          <cell r="A179" t="str">
            <v>28 X 63</v>
          </cell>
          <cell r="B179">
            <v>2.66</v>
          </cell>
        </row>
        <row r="180">
          <cell r="A180" t="str">
            <v>28 X 75</v>
          </cell>
          <cell r="B180">
            <v>2.74</v>
          </cell>
        </row>
        <row r="181">
          <cell r="A181" t="str">
            <v>28 X 83</v>
          </cell>
          <cell r="B181">
            <v>2.81</v>
          </cell>
        </row>
        <row r="182">
          <cell r="A182" t="str">
            <v>28 X 100</v>
          </cell>
          <cell r="B182">
            <v>2.89</v>
          </cell>
        </row>
        <row r="183">
          <cell r="A183" t="str">
            <v>28 X 115</v>
          </cell>
          <cell r="B183">
            <v>2.97</v>
          </cell>
        </row>
        <row r="184">
          <cell r="A184" t="str">
            <v>28 X 125</v>
          </cell>
          <cell r="B184">
            <v>3.05</v>
          </cell>
        </row>
        <row r="185">
          <cell r="A185" t="str">
            <v>30 X 25</v>
          </cell>
          <cell r="B185">
            <v>2.58</v>
          </cell>
        </row>
        <row r="186">
          <cell r="A186" t="str">
            <v>30 X 38</v>
          </cell>
          <cell r="B186">
            <v>2.66</v>
          </cell>
        </row>
        <row r="187">
          <cell r="A187" t="str">
            <v>30 X 50</v>
          </cell>
          <cell r="B187">
            <v>2.74</v>
          </cell>
        </row>
        <row r="188">
          <cell r="A188" t="str">
            <v>30 X 63</v>
          </cell>
          <cell r="B188">
            <v>2.82</v>
          </cell>
        </row>
        <row r="189">
          <cell r="A189" t="str">
            <v>30 X 75</v>
          </cell>
          <cell r="B189">
            <v>2.9</v>
          </cell>
        </row>
        <row r="190">
          <cell r="A190" t="str">
            <v>30 X 83</v>
          </cell>
          <cell r="B190">
            <v>2.98</v>
          </cell>
        </row>
        <row r="191">
          <cell r="A191" t="str">
            <v>30 X 100</v>
          </cell>
          <cell r="B191">
            <v>3.05</v>
          </cell>
        </row>
        <row r="192">
          <cell r="A192" t="str">
            <v>30 X 115</v>
          </cell>
          <cell r="B192">
            <v>3.13</v>
          </cell>
        </row>
        <row r="193">
          <cell r="A193" t="str">
            <v>30 X 125</v>
          </cell>
          <cell r="B193">
            <v>3.21</v>
          </cell>
        </row>
        <row r="194">
          <cell r="A194" t="str">
            <v>32 X 25</v>
          </cell>
          <cell r="B194">
            <v>2.74</v>
          </cell>
        </row>
        <row r="195">
          <cell r="A195" t="str">
            <v>32 X 38</v>
          </cell>
          <cell r="B195">
            <v>2.82</v>
          </cell>
        </row>
        <row r="196">
          <cell r="A196" t="str">
            <v>32 X 50</v>
          </cell>
          <cell r="B196">
            <v>2.9</v>
          </cell>
        </row>
        <row r="197">
          <cell r="A197" t="str">
            <v>32 X 63</v>
          </cell>
          <cell r="B197">
            <v>2.98</v>
          </cell>
        </row>
        <row r="198">
          <cell r="A198" t="str">
            <v>32 X 75</v>
          </cell>
          <cell r="B198">
            <v>3.06</v>
          </cell>
        </row>
        <row r="199">
          <cell r="A199" t="str">
            <v>32 X 83</v>
          </cell>
          <cell r="B199">
            <v>3.14</v>
          </cell>
        </row>
        <row r="200">
          <cell r="A200" t="str">
            <v>32 X 100</v>
          </cell>
          <cell r="B200">
            <v>3.21</v>
          </cell>
        </row>
        <row r="201">
          <cell r="A201" t="str">
            <v>32 X 115</v>
          </cell>
          <cell r="B201">
            <v>3.29</v>
          </cell>
        </row>
        <row r="202">
          <cell r="A202" t="str">
            <v>32 X 125</v>
          </cell>
          <cell r="B202">
            <v>3.37</v>
          </cell>
        </row>
        <row r="203">
          <cell r="A203" t="str">
            <v>34 X 25</v>
          </cell>
          <cell r="B203">
            <v>2.9</v>
          </cell>
        </row>
        <row r="204">
          <cell r="A204" t="str">
            <v>34 X 38</v>
          </cell>
          <cell r="B204">
            <v>2.98</v>
          </cell>
        </row>
        <row r="205">
          <cell r="A205" t="str">
            <v>34 X 50</v>
          </cell>
          <cell r="B205">
            <v>3.06</v>
          </cell>
        </row>
        <row r="206">
          <cell r="A206" t="str">
            <v>34 X 63</v>
          </cell>
          <cell r="B206">
            <v>3.14</v>
          </cell>
        </row>
        <row r="207">
          <cell r="A207" t="str">
            <v>34 X 75</v>
          </cell>
          <cell r="B207">
            <v>3.22</v>
          </cell>
        </row>
        <row r="208">
          <cell r="A208" t="str">
            <v>34 X 83</v>
          </cell>
          <cell r="B208">
            <v>3.3</v>
          </cell>
        </row>
        <row r="209">
          <cell r="A209" t="str">
            <v>34 X 100</v>
          </cell>
          <cell r="B209">
            <v>3.37</v>
          </cell>
        </row>
        <row r="210">
          <cell r="A210" t="str">
            <v>34 X 115</v>
          </cell>
          <cell r="B210">
            <v>3.45</v>
          </cell>
        </row>
        <row r="211">
          <cell r="A211" t="str">
            <v>34 X 125</v>
          </cell>
          <cell r="B211">
            <v>3.53</v>
          </cell>
        </row>
        <row r="212">
          <cell r="A212" t="str">
            <v>36 X 25</v>
          </cell>
          <cell r="B212">
            <v>2.9</v>
          </cell>
        </row>
        <row r="213">
          <cell r="A213" t="str">
            <v>36 X 38</v>
          </cell>
          <cell r="B213">
            <v>2.98</v>
          </cell>
        </row>
        <row r="214">
          <cell r="A214" t="str">
            <v>36 X 50</v>
          </cell>
          <cell r="B214">
            <v>3.06</v>
          </cell>
        </row>
        <row r="215">
          <cell r="A215" t="str">
            <v>36 X 63</v>
          </cell>
          <cell r="B215">
            <v>3.14</v>
          </cell>
        </row>
        <row r="216">
          <cell r="A216" t="str">
            <v>36 X 75</v>
          </cell>
          <cell r="B216">
            <v>3.22</v>
          </cell>
        </row>
        <row r="217">
          <cell r="A217" t="str">
            <v>36 X 83</v>
          </cell>
          <cell r="B217">
            <v>3.3</v>
          </cell>
        </row>
        <row r="218">
          <cell r="A218" t="str">
            <v>36 X 100</v>
          </cell>
          <cell r="B218">
            <v>3.37</v>
          </cell>
        </row>
        <row r="219">
          <cell r="A219" t="str">
            <v>36 X 115</v>
          </cell>
          <cell r="B219">
            <v>3.45</v>
          </cell>
        </row>
        <row r="220">
          <cell r="A220" t="str">
            <v>36 X 125</v>
          </cell>
          <cell r="B220">
            <v>3.53</v>
          </cell>
        </row>
        <row r="221">
          <cell r="A221" t="str">
            <v>38 X 25</v>
          </cell>
          <cell r="B221">
            <v>3.22</v>
          </cell>
        </row>
        <row r="222">
          <cell r="A222" t="str">
            <v>38 X 38</v>
          </cell>
          <cell r="B222">
            <v>3.3</v>
          </cell>
        </row>
        <row r="223">
          <cell r="A223" t="str">
            <v>38 X 50</v>
          </cell>
          <cell r="B223">
            <v>3.38</v>
          </cell>
        </row>
        <row r="224">
          <cell r="A224" t="str">
            <v>38 X 63</v>
          </cell>
          <cell r="B224">
            <v>3.46</v>
          </cell>
        </row>
        <row r="225">
          <cell r="A225" t="str">
            <v>38 X 75</v>
          </cell>
          <cell r="B225">
            <v>3.53</v>
          </cell>
        </row>
        <row r="226">
          <cell r="A226" t="str">
            <v>38 X 83</v>
          </cell>
          <cell r="B226">
            <v>3.61</v>
          </cell>
        </row>
        <row r="227">
          <cell r="A227" t="str">
            <v>38 X 100</v>
          </cell>
          <cell r="B227">
            <v>3.69</v>
          </cell>
        </row>
        <row r="228">
          <cell r="A228" t="str">
            <v>38 X 115</v>
          </cell>
          <cell r="B228">
            <v>3.77</v>
          </cell>
        </row>
        <row r="229">
          <cell r="A229" t="str">
            <v>38 X 125</v>
          </cell>
          <cell r="B229">
            <v>3.85</v>
          </cell>
        </row>
        <row r="230">
          <cell r="A230" t="str">
            <v>40 X 25</v>
          </cell>
          <cell r="B230">
            <v>3.38</v>
          </cell>
        </row>
        <row r="231">
          <cell r="A231" t="str">
            <v>40 X 38</v>
          </cell>
          <cell r="B231">
            <v>3.46</v>
          </cell>
        </row>
        <row r="232">
          <cell r="A232" t="str">
            <v>40 X 50</v>
          </cell>
          <cell r="B232">
            <v>3.54</v>
          </cell>
        </row>
        <row r="233">
          <cell r="A233" t="str">
            <v>40 X 63</v>
          </cell>
          <cell r="B233">
            <v>3.62</v>
          </cell>
        </row>
        <row r="234">
          <cell r="A234" t="str">
            <v>40 X 75</v>
          </cell>
          <cell r="B234">
            <v>3.69</v>
          </cell>
        </row>
        <row r="235">
          <cell r="A235" t="str">
            <v>40 X 83</v>
          </cell>
          <cell r="B235">
            <v>3.77</v>
          </cell>
        </row>
        <row r="236">
          <cell r="A236" t="str">
            <v>40 X 100</v>
          </cell>
          <cell r="B236">
            <v>3.85</v>
          </cell>
        </row>
        <row r="237">
          <cell r="A237" t="str">
            <v>40 X 115</v>
          </cell>
          <cell r="B237">
            <v>3.93</v>
          </cell>
        </row>
        <row r="238">
          <cell r="A238" t="str">
            <v>40 X 125</v>
          </cell>
          <cell r="B238">
            <v>4.01</v>
          </cell>
        </row>
        <row r="239">
          <cell r="A239" t="str">
            <v>42 X 25</v>
          </cell>
          <cell r="B239">
            <v>3.54</v>
          </cell>
        </row>
        <row r="240">
          <cell r="A240" t="str">
            <v>42 X 38</v>
          </cell>
          <cell r="B240">
            <v>3.62</v>
          </cell>
        </row>
        <row r="241">
          <cell r="A241" t="str">
            <v>42 X 50</v>
          </cell>
          <cell r="B241">
            <v>3.7</v>
          </cell>
        </row>
        <row r="242">
          <cell r="A242" t="str">
            <v>42 X 63</v>
          </cell>
          <cell r="B242">
            <v>3.78</v>
          </cell>
        </row>
        <row r="243">
          <cell r="A243" t="str">
            <v>42 X 75</v>
          </cell>
          <cell r="B243">
            <v>3.85</v>
          </cell>
        </row>
        <row r="244">
          <cell r="A244" t="str">
            <v>42 X 83</v>
          </cell>
          <cell r="B244">
            <v>3.93</v>
          </cell>
        </row>
        <row r="245">
          <cell r="A245" t="str">
            <v>42 X 100</v>
          </cell>
          <cell r="B245">
            <v>4.01</v>
          </cell>
        </row>
        <row r="246">
          <cell r="A246" t="str">
            <v>42 X 115</v>
          </cell>
          <cell r="B246">
            <v>4.09</v>
          </cell>
        </row>
        <row r="247">
          <cell r="A247" t="str">
            <v>42 X 125</v>
          </cell>
          <cell r="B247">
            <v>4.17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PORTE"/>
      <sheetName val="FONTE"/>
      <sheetName val="RESUMO_CAPA oficial"/>
      <sheetName val="FOLHA DE ROSTO"/>
      <sheetName val="ASM."/>
      <sheetName val="ASM"/>
      <sheetName val="CSV. AS"/>
      <sheetName val="BMM"/>
      <sheetName val="CSV.BM"/>
      <sheetName val="MC"/>
      <sheetName val="TIMELINE"/>
      <sheetName val="EQUIP"/>
      <sheetName val="TUB"/>
      <sheetName val="TABELAS"/>
      <sheetName val="VALORES"/>
      <sheetName val="PU EQPT"/>
      <sheetName val="PREÇOS"/>
      <sheetName val="INFO"/>
      <sheetName val="HH"/>
      <sheetName val="DHT"/>
      <sheetName val="FOLHA HH"/>
      <sheetName val="Pedido"/>
      <sheetName val="RECOMPOSIÇÃO"/>
      <sheetName val="REMOÇÃO"/>
    </sheetNames>
    <sheetDataSet>
      <sheetData sheetId="0" refreshError="1"/>
      <sheetData sheetId="1">
        <row r="4">
          <cell r="B4" t="str">
            <v>JAIRO</v>
          </cell>
          <cell r="D4" t="str">
            <v>A-710 - FIREPRO</v>
          </cell>
        </row>
        <row r="5">
          <cell r="B5" t="str">
            <v>PEDRO LÚCIO</v>
          </cell>
          <cell r="D5" t="str">
            <v>A-328</v>
          </cell>
        </row>
        <row r="6">
          <cell r="B6" t="str">
            <v>CLEBER</v>
          </cell>
          <cell r="D6" t="str">
            <v>CHARUTO 15</v>
          </cell>
        </row>
        <row r="7">
          <cell r="D7" t="str">
            <v>CHARUTO 14</v>
          </cell>
        </row>
        <row r="8">
          <cell r="D8" t="str">
            <v>CALDEIRA 40 - ISO.</v>
          </cell>
        </row>
        <row r="25">
          <cell r="B25" t="str">
            <v>VICENTE</v>
          </cell>
          <cell r="C25" t="str">
            <v>PVC</v>
          </cell>
        </row>
        <row r="26">
          <cell r="B26" t="str">
            <v>LUCIANO</v>
          </cell>
          <cell r="C26" t="str">
            <v>CLORO SODA</v>
          </cell>
        </row>
        <row r="33">
          <cell r="B33" t="str">
            <v>...</v>
          </cell>
        </row>
        <row r="46">
          <cell r="B46" t="str">
            <v>Container ADM - Mês</v>
          </cell>
        </row>
        <row r="47">
          <cell r="B47" t="str">
            <v>Container Almox - Mês</v>
          </cell>
        </row>
        <row r="48">
          <cell r="B48" t="str">
            <v>Toldo 4x4 - Mês</v>
          </cell>
        </row>
        <row r="51">
          <cell r="B51" t="str">
            <v>...</v>
          </cell>
        </row>
        <row r="69">
          <cell r="D69" t="str">
            <v>...</v>
          </cell>
        </row>
        <row r="624">
          <cell r="B624" t="str">
            <v>DATA</v>
          </cell>
        </row>
        <row r="625">
          <cell r="B625">
            <v>44064</v>
          </cell>
        </row>
        <row r="626">
          <cell r="B626">
            <v>44065</v>
          </cell>
        </row>
        <row r="627">
          <cell r="B627">
            <v>44066</v>
          </cell>
        </row>
        <row r="628">
          <cell r="B628">
            <v>44067</v>
          </cell>
        </row>
        <row r="629">
          <cell r="B629">
            <v>44068</v>
          </cell>
        </row>
        <row r="630">
          <cell r="B630">
            <v>44069</v>
          </cell>
        </row>
        <row r="631">
          <cell r="B631">
            <v>44070</v>
          </cell>
        </row>
        <row r="632">
          <cell r="B632">
            <v>44071</v>
          </cell>
        </row>
        <row r="633">
          <cell r="B633">
            <v>44072</v>
          </cell>
        </row>
        <row r="634">
          <cell r="B634">
            <v>44073</v>
          </cell>
        </row>
        <row r="635">
          <cell r="B635">
            <v>44074</v>
          </cell>
        </row>
        <row r="636">
          <cell r="B636">
            <v>44075</v>
          </cell>
        </row>
        <row r="637">
          <cell r="B637">
            <v>44076</v>
          </cell>
        </row>
        <row r="638">
          <cell r="B638">
            <v>44077</v>
          </cell>
        </row>
      </sheetData>
      <sheetData sheetId="2" refreshError="1"/>
      <sheetData sheetId="3" refreshError="1"/>
      <sheetData sheetId="4"/>
      <sheetData sheetId="5"/>
      <sheetData sheetId="6" refreshError="1"/>
      <sheetData sheetId="7">
        <row r="19">
          <cell r="B19" t="str">
            <v>10/1010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6">
          <cell r="C6">
            <v>0</v>
          </cell>
        </row>
      </sheetData>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ÇOS"/>
      <sheetName val="FONTE"/>
      <sheetName val="DADOS"/>
      <sheetName val="EQUIPES"/>
      <sheetName val="PRODUTIVIDADE"/>
      <sheetName val="MOV.AND."/>
      <sheetName val="MAPA_BRK"/>
      <sheetName val="MAPA_ENC"/>
      <sheetName val="Res.BM_HH"/>
      <sheetName val="Anx.BM_HH"/>
      <sheetName val="Rateio"/>
      <sheetName val="Res.BM_MM"/>
      <sheetName val="Anx.BM_MM"/>
      <sheetName val="EQUIPES (2)"/>
      <sheetName val="PRODUTIVIDADE (2)"/>
    </sheetNames>
    <sheetDataSet>
      <sheetData sheetId="0"/>
      <sheetData sheetId="1">
        <row r="81">
          <cell r="B81" t="str">
            <v>ÁREA</v>
          </cell>
        </row>
        <row r="82">
          <cell r="B82" t="str">
            <v>IESE</v>
          </cell>
        </row>
        <row r="83">
          <cell r="B83" t="str">
            <v>SAO</v>
          </cell>
        </row>
        <row r="84">
          <cell r="B84" t="str">
            <v>UA I</v>
          </cell>
        </row>
        <row r="85">
          <cell r="B85" t="str">
            <v>UA II</v>
          </cell>
        </row>
        <row r="86">
          <cell r="B86" t="str">
            <v>UO I</v>
          </cell>
        </row>
        <row r="87">
          <cell r="B87" t="str">
            <v>UO II</v>
          </cell>
        </row>
        <row r="132">
          <cell r="B132" t="str">
            <v>TIPO DE ANDAIME</v>
          </cell>
        </row>
        <row r="133">
          <cell r="B133" t="str">
            <v>BALANÇINHO</v>
          </cell>
        </row>
        <row r="134">
          <cell r="B134" t="str">
            <v>BANCADA</v>
          </cell>
        </row>
        <row r="135">
          <cell r="B135" t="str">
            <v>CABANA</v>
          </cell>
        </row>
        <row r="136">
          <cell r="B136" t="str">
            <v>ESCADA DE ACESSO</v>
          </cell>
        </row>
        <row r="137">
          <cell r="B137" t="str">
            <v>ESCADA DE FUGA</v>
          </cell>
        </row>
        <row r="138">
          <cell r="B138" t="str">
            <v>ESCORAMENTO</v>
          </cell>
        </row>
        <row r="139">
          <cell r="B139" t="str">
            <v>GUARDA-CORPO</v>
          </cell>
        </row>
        <row r="140">
          <cell r="B140" t="str">
            <v>PASSARELA</v>
          </cell>
        </row>
        <row r="141">
          <cell r="B141" t="str">
            <v>PAU DE CARGA</v>
          </cell>
        </row>
        <row r="142">
          <cell r="B142" t="str">
            <v>TORRE</v>
          </cell>
        </row>
        <row r="143">
          <cell r="B143" t="str">
            <v>TORRE DE RODÍZIO</v>
          </cell>
        </row>
        <row r="144">
          <cell r="B144" t="str">
            <v>TORRE P/ ELEVADOR</v>
          </cell>
        </row>
        <row r="145">
          <cell r="B145" t="str">
            <v>ACESSO</v>
          </cell>
        </row>
        <row r="146">
          <cell r="B146" t="str">
            <v>CAVALETE</v>
          </cell>
        </row>
        <row r="147">
          <cell r="B147" t="str">
            <v>CERCADO</v>
          </cell>
        </row>
        <row r="148">
          <cell r="B148" t="str">
            <v>CORRIMÃO</v>
          </cell>
        </row>
        <row r="149">
          <cell r="B149" t="str">
            <v>ESCADA</v>
          </cell>
        </row>
        <row r="150">
          <cell r="B150" t="str">
            <v>LINHA DE VIDA</v>
          </cell>
        </row>
        <row r="151">
          <cell r="B151" t="str">
            <v>PLATAFORMA</v>
          </cell>
        </row>
        <row r="152">
          <cell r="B152" t="str">
            <v>RAMPA</v>
          </cell>
        </row>
        <row r="153">
          <cell r="B153" t="str">
            <v>SUPORTE</v>
          </cell>
        </row>
        <row r="154">
          <cell r="B154" t="str">
            <v>TRAVAMENTO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efreshError="1">
        <row r="4">
          <cell r="A4">
            <v>10</v>
          </cell>
          <cell r="B4" t="str">
            <v>Calhas e Painéis de Lã de Vidro/Lã de Ro</v>
          </cell>
        </row>
        <row r="5">
          <cell r="A5">
            <v>20</v>
          </cell>
          <cell r="B5" t="str">
            <v>Serviços de Poliuretano Injetado</v>
          </cell>
        </row>
        <row r="6">
          <cell r="A6">
            <v>30</v>
          </cell>
          <cell r="B6" t="str">
            <v>Serv. de Isolam. Térm. a Quente em Equip</v>
          </cell>
        </row>
        <row r="7">
          <cell r="A7">
            <v>40</v>
          </cell>
          <cell r="B7" t="str">
            <v>Serv. de Isolamento Térm.a Frio em Equip</v>
          </cell>
        </row>
        <row r="8">
          <cell r="A8">
            <v>50</v>
          </cell>
          <cell r="B8" t="str">
            <v>Serviços de Refratamento</v>
          </cell>
        </row>
        <row r="9">
          <cell r="A9">
            <v>60</v>
          </cell>
          <cell r="B9" t="str">
            <v>Serviços Executados por Administração</v>
          </cell>
        </row>
        <row r="10">
          <cell r="A10">
            <v>70</v>
          </cell>
          <cell r="B10" t="str">
            <v>Serv. Equipam. a Frio Com Polisocianurat</v>
          </cell>
        </row>
        <row r="11">
          <cell r="A11">
            <v>80</v>
          </cell>
          <cell r="B11" t="str">
            <v>Serv. Equip.a Quente com Revest. em Aço</v>
          </cell>
        </row>
        <row r="12">
          <cell r="A12">
            <v>90</v>
          </cell>
          <cell r="B12" t="str">
            <v>Calhas e Painéis de Lã Vidro/Lã Rocha co</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TE"/>
      <sheetName val="DADOS"/>
      <sheetName val="DHT"/>
      <sheetName val="TRANSPORTE"/>
      <sheetName val="RESUMO"/>
      <sheetName val="BM_DHT"/>
      <sheetName val="BM_TRANSPORTE"/>
    </sheetNames>
    <sheetDataSet>
      <sheetData sheetId="0">
        <row r="73">
          <cell r="B73" t="str">
            <v>ANDRÉ MATOS</v>
          </cell>
        </row>
        <row r="129">
          <cell r="B129" t="str">
            <v>#DIG.</v>
          </cell>
        </row>
        <row r="130">
          <cell r="B130" t="str">
            <v>FLARE</v>
          </cell>
        </row>
        <row r="131">
          <cell r="B131" t="str">
            <v>PONTE ROLANTE</v>
          </cell>
        </row>
        <row r="132">
          <cell r="B132" t="str">
            <v>APOIO PINTURA</v>
          </cell>
        </row>
        <row r="133">
          <cell r="B133" t="str">
            <v>RECUPERAÇÃO DE ESTRUTURAS</v>
          </cell>
        </row>
        <row r="134">
          <cell r="B134" t="str">
            <v>LINHAS PROVISÓRIAS</v>
          </cell>
        </row>
        <row r="135">
          <cell r="B135" t="str">
            <v>APOIO OPERACIONAL</v>
          </cell>
        </row>
        <row r="136">
          <cell r="B136" t="str">
            <v>INSTALAÇÕES PROVISÓRIAS</v>
          </cell>
        </row>
        <row r="137">
          <cell r="B137" t="str">
            <v>INSTALAÇÃO DE TELAS</v>
          </cell>
        </row>
        <row r="138">
          <cell r="B138" t="str">
            <v>MI</v>
          </cell>
        </row>
        <row r="139">
          <cell r="B139" t="str">
            <v>ASE</v>
          </cell>
        </row>
        <row r="140">
          <cell r="B140" t="str">
            <v>BA-1103_HH</v>
          </cell>
        </row>
        <row r="141">
          <cell r="B141" t="str">
            <v>BA-1101</v>
          </cell>
        </row>
        <row r="142">
          <cell r="B142" t="str">
            <v>BA-1101_HH</v>
          </cell>
        </row>
        <row r="143">
          <cell r="B143" t="str">
            <v>CENTRAL CAMAÇARI</v>
          </cell>
        </row>
        <row r="144">
          <cell r="B144" t="str">
            <v>DA-2351 B</v>
          </cell>
        </row>
        <row r="145">
          <cell r="B145" t="str">
            <v>DA-4406</v>
          </cell>
        </row>
        <row r="146">
          <cell r="B146" t="str">
            <v>DA-5208</v>
          </cell>
        </row>
        <row r="147">
          <cell r="B147" t="str">
            <v>DA-5258</v>
          </cell>
        </row>
        <row r="148">
          <cell r="B148" t="str">
            <v>A-2300</v>
          </cell>
        </row>
        <row r="149">
          <cell r="B149" t="str">
            <v>DEP</v>
          </cell>
        </row>
        <row r="150">
          <cell r="B150" t="str">
            <v>DTG</v>
          </cell>
        </row>
        <row r="151">
          <cell r="B151" t="str">
            <v>DTG FORNOS</v>
          </cell>
        </row>
        <row r="152">
          <cell r="B152" t="str">
            <v>DTG REC´s 2017</v>
          </cell>
        </row>
        <row r="153">
          <cell r="B153" t="str">
            <v>DTG REC´s 2018</v>
          </cell>
        </row>
        <row r="154">
          <cell r="B154" t="str">
            <v>DTG TIB</v>
          </cell>
        </row>
        <row r="155">
          <cell r="B155" t="str">
            <v>DTG UA</v>
          </cell>
        </row>
        <row r="156">
          <cell r="B156" t="str">
            <v>DTG UA-III</v>
          </cell>
        </row>
        <row r="157">
          <cell r="B157" t="str">
            <v>DTG UO</v>
          </cell>
        </row>
        <row r="158">
          <cell r="B158" t="str">
            <v>DTP ( FIBRAS )</v>
          </cell>
        </row>
        <row r="159">
          <cell r="B159" t="str">
            <v>EA-4501 A</v>
          </cell>
        </row>
        <row r="160">
          <cell r="B160" t="str">
            <v>EF-1900 B</v>
          </cell>
        </row>
        <row r="161">
          <cell r="B161" t="str">
            <v>EF-1900 I</v>
          </cell>
        </row>
        <row r="162">
          <cell r="B162" t="str">
            <v>EF-1900A</v>
          </cell>
        </row>
        <row r="163">
          <cell r="B163" t="str">
            <v>EF-1900B</v>
          </cell>
        </row>
        <row r="164">
          <cell r="B164" t="str">
            <v>EQUIPE TELHADO</v>
          </cell>
        </row>
        <row r="165">
          <cell r="B165" t="str">
            <v>EXTRA</v>
          </cell>
        </row>
        <row r="166">
          <cell r="B166" t="str">
            <v>EQUIPE EXTRA UTE</v>
          </cell>
        </row>
        <row r="167">
          <cell r="B167" t="str">
            <v>UTE SUL</v>
          </cell>
        </row>
        <row r="168">
          <cell r="B168" t="str">
            <v>FB-952 A</v>
          </cell>
        </row>
        <row r="169">
          <cell r="B169" t="str">
            <v>FB-951 D</v>
          </cell>
        </row>
        <row r="170">
          <cell r="B170" t="str">
            <v>FB-952 A_MM</v>
          </cell>
        </row>
        <row r="171">
          <cell r="B171" t="str">
            <v>FB-952 B</v>
          </cell>
        </row>
        <row r="172">
          <cell r="B172" t="str">
            <v>FB-967</v>
          </cell>
        </row>
        <row r="173">
          <cell r="B173" t="str">
            <v>FB-966</v>
          </cell>
        </row>
        <row r="174">
          <cell r="B174" t="str">
            <v>FB-1002 X</v>
          </cell>
        </row>
        <row r="175">
          <cell r="B175" t="str">
            <v>FB-4061</v>
          </cell>
        </row>
        <row r="176">
          <cell r="B176" t="str">
            <v>FB-4061_HH</v>
          </cell>
        </row>
        <row r="177">
          <cell r="B177" t="str">
            <v>TEGAL</v>
          </cell>
        </row>
        <row r="178">
          <cell r="B178" t="str">
            <v>FORNOS</v>
          </cell>
        </row>
        <row r="179">
          <cell r="B179" t="str">
            <v>DTG FORNOS</v>
          </cell>
        </row>
        <row r="180">
          <cell r="B180" t="str">
            <v>GPA UA I</v>
          </cell>
        </row>
        <row r="181">
          <cell r="B181" t="str">
            <v>GPA UA II</v>
          </cell>
        </row>
        <row r="182">
          <cell r="B182" t="str">
            <v>GPA UO I</v>
          </cell>
        </row>
        <row r="183">
          <cell r="B183" t="str">
            <v>GPA UO II</v>
          </cell>
        </row>
        <row r="184">
          <cell r="B184" t="str">
            <v>GPA UTE</v>
          </cell>
        </row>
        <row r="185">
          <cell r="B185" t="str">
            <v>GV-5301 D</v>
          </cell>
        </row>
        <row r="186">
          <cell r="B186" t="str">
            <v>GV-5301 H_HH</v>
          </cell>
        </row>
        <row r="187">
          <cell r="B187" t="str">
            <v>GV-5301 D_HH</v>
          </cell>
        </row>
        <row r="188">
          <cell r="B188" t="str">
            <v>GV-5301 E</v>
          </cell>
        </row>
        <row r="189">
          <cell r="B189" t="str">
            <v>GV-5301 E_HH</v>
          </cell>
        </row>
        <row r="190">
          <cell r="B190" t="str">
            <v>GV-5301 H</v>
          </cell>
        </row>
        <row r="191">
          <cell r="B191" t="str">
            <v>INSP. CATÓDICA UO-I</v>
          </cell>
        </row>
        <row r="192">
          <cell r="B192" t="str">
            <v>INS-PARADA</v>
          </cell>
        </row>
        <row r="193">
          <cell r="B193" t="str">
            <v>INSPEÇÃO</v>
          </cell>
        </row>
        <row r="194">
          <cell r="B194" t="str">
            <v>INSPEÇÃO PRÉ-PARADA</v>
          </cell>
        </row>
        <row r="195">
          <cell r="B195" t="str">
            <v>ISOL. A-1000</v>
          </cell>
        </row>
        <row r="196">
          <cell r="B196" t="str">
            <v>LAB. UA-I</v>
          </cell>
        </row>
        <row r="197">
          <cell r="B197" t="str">
            <v>LINHA DE FACILIDADES</v>
          </cell>
        </row>
        <row r="198">
          <cell r="B198" t="str">
            <v>LINHA DE FW</v>
          </cell>
        </row>
        <row r="199">
          <cell r="B199" t="str">
            <v>LINHA DE V-15 EXTERNO</v>
          </cell>
        </row>
        <row r="200">
          <cell r="B200" t="str">
            <v>LINHA DE V-15 INTERNO</v>
          </cell>
        </row>
        <row r="201">
          <cell r="B201" t="str">
            <v>MB-5301G</v>
          </cell>
        </row>
        <row r="202">
          <cell r="B202" t="str">
            <v>NOTAS GM - EA-1142</v>
          </cell>
        </row>
        <row r="203">
          <cell r="B203" t="str">
            <v>NOTAS Z-3</v>
          </cell>
        </row>
        <row r="204">
          <cell r="B204" t="str">
            <v>PAR. UA-II 2018_HH</v>
          </cell>
        </row>
        <row r="205">
          <cell r="B205" t="str">
            <v>PARADA</v>
          </cell>
        </row>
        <row r="206">
          <cell r="B206" t="str">
            <v>PARADA (PJ)</v>
          </cell>
        </row>
        <row r="207">
          <cell r="B207" t="str">
            <v>PARADA UA-II 2018</v>
          </cell>
        </row>
        <row r="208">
          <cell r="B208" t="str">
            <v>PE-3</v>
          </cell>
        </row>
        <row r="209">
          <cell r="B209" t="str">
            <v>PIT STOP</v>
          </cell>
        </row>
        <row r="210">
          <cell r="B210" t="str">
            <v>PIT STOP A-350</v>
          </cell>
        </row>
        <row r="211">
          <cell r="B211" t="str">
            <v>PIT STOP A-5100</v>
          </cell>
        </row>
        <row r="212">
          <cell r="B212" t="str">
            <v>PGM-2019_UO-I</v>
          </cell>
        </row>
        <row r="213">
          <cell r="B213" t="str">
            <v>PGM-2019_UO-I_HH</v>
          </cell>
        </row>
        <row r="214">
          <cell r="B214" t="str">
            <v>PIT STOP A-5200</v>
          </cell>
        </row>
        <row r="215">
          <cell r="B215" t="str">
            <v>PIT STOP A-2500</v>
          </cell>
        </row>
        <row r="216">
          <cell r="B216" t="str">
            <v>BA-1111 (BARREIRAS)</v>
          </cell>
        </row>
        <row r="217">
          <cell r="B217" t="str">
            <v>A-2500</v>
          </cell>
        </row>
        <row r="218">
          <cell r="B218" t="str">
            <v>BA-1107</v>
          </cell>
        </row>
        <row r="219">
          <cell r="B219" t="str">
            <v>PJ - A-1000</v>
          </cell>
        </row>
        <row r="220">
          <cell r="B220" t="str">
            <v>PJ - EA-4417</v>
          </cell>
        </row>
        <row r="221">
          <cell r="B221" t="str">
            <v>PJ A-1900</v>
          </cell>
        </row>
        <row r="222">
          <cell r="B222" t="str">
            <v>PJ A-300</v>
          </cell>
        </row>
        <row r="223">
          <cell r="B223" t="str">
            <v>PJ-EA-1501 A/B</v>
          </cell>
        </row>
        <row r="224">
          <cell r="B224" t="str">
            <v>EA-1501</v>
          </cell>
        </row>
        <row r="225">
          <cell r="B225" t="str">
            <v>PJ-EA-4417 A/B</v>
          </cell>
        </row>
        <row r="226">
          <cell r="B226" t="str">
            <v>PQ B-01</v>
          </cell>
        </row>
        <row r="227">
          <cell r="B227" t="str">
            <v>PQ B-02</v>
          </cell>
        </row>
        <row r="228">
          <cell r="B228" t="str">
            <v>PRÉ-PARADA</v>
          </cell>
        </row>
        <row r="229">
          <cell r="B229" t="str">
            <v>PROJ. A-1000</v>
          </cell>
        </row>
        <row r="230">
          <cell r="B230" t="str">
            <v>PT-10</v>
          </cell>
        </row>
        <row r="231">
          <cell r="B231" t="str">
            <v>REC´s 2017 FW/UA</v>
          </cell>
        </row>
        <row r="232">
          <cell r="B232" t="str">
            <v>REC´s 2017 FW/UO</v>
          </cell>
        </row>
        <row r="233">
          <cell r="B233" t="str">
            <v>REC´s 2017 TIB</v>
          </cell>
        </row>
        <row r="234">
          <cell r="B234" t="str">
            <v>REC´s 2017 UA-I</v>
          </cell>
        </row>
        <row r="235">
          <cell r="B235" t="str">
            <v>REC´s 2017 UA-II</v>
          </cell>
        </row>
        <row r="236">
          <cell r="B236" t="str">
            <v>REC´s 2019 UO</v>
          </cell>
        </row>
        <row r="237">
          <cell r="B237" t="str">
            <v>REC´s 2019 UA</v>
          </cell>
        </row>
        <row r="238">
          <cell r="B238" t="str">
            <v>REC´s 2017 UO-I</v>
          </cell>
        </row>
        <row r="239">
          <cell r="B239" t="str">
            <v>REC´s 2017 UO-II</v>
          </cell>
        </row>
        <row r="240">
          <cell r="B240" t="str">
            <v>REC´s 2017 UTE</v>
          </cell>
        </row>
        <row r="241">
          <cell r="B241" t="str">
            <v>REC´S ESPECIAIS</v>
          </cell>
        </row>
        <row r="242">
          <cell r="B242" t="str">
            <v>REC´s UO</v>
          </cell>
        </row>
        <row r="243">
          <cell r="B243" t="str">
            <v>REC´s UO I</v>
          </cell>
        </row>
        <row r="244">
          <cell r="B244" t="str">
            <v>REC-311335</v>
          </cell>
        </row>
        <row r="245">
          <cell r="B245" t="str">
            <v>REC-313736</v>
          </cell>
        </row>
        <row r="246">
          <cell r="B246" t="str">
            <v>RECs 2017</v>
          </cell>
        </row>
        <row r="247">
          <cell r="B247" t="str">
            <v>RECs UA II (ROT.)</v>
          </cell>
        </row>
        <row r="248">
          <cell r="B248" t="str">
            <v>REFEITÓRIO CENTRAL</v>
          </cell>
        </row>
        <row r="249">
          <cell r="B249" t="str">
            <v>REGENERAÇÃO</v>
          </cell>
        </row>
        <row r="250">
          <cell r="B250" t="str">
            <v>RMA 1</v>
          </cell>
        </row>
        <row r="251">
          <cell r="B251" t="str">
            <v>RMA 5</v>
          </cell>
        </row>
        <row r="252">
          <cell r="B252" t="str">
            <v>RMA 7</v>
          </cell>
        </row>
        <row r="253">
          <cell r="B253" t="str">
            <v>RMA HD</v>
          </cell>
        </row>
        <row r="254">
          <cell r="B254" t="str">
            <v>RMA HDC</v>
          </cell>
        </row>
        <row r="255">
          <cell r="B255" t="str">
            <v>RMA 7D</v>
          </cell>
        </row>
        <row r="256">
          <cell r="B256" t="str">
            <v>RMA 8</v>
          </cell>
        </row>
        <row r="257">
          <cell r="B257" t="str">
            <v>RMA 9</v>
          </cell>
        </row>
        <row r="258">
          <cell r="B258" t="str">
            <v>RMA 9 E</v>
          </cell>
        </row>
        <row r="259">
          <cell r="B259" t="str">
            <v>RMA 9 I</v>
          </cell>
        </row>
        <row r="260">
          <cell r="B260" t="str">
            <v>RMA 9 M</v>
          </cell>
        </row>
        <row r="261">
          <cell r="B261" t="str">
            <v>SF-6</v>
          </cell>
        </row>
        <row r="262">
          <cell r="B262" t="str">
            <v>STEAM TRACE</v>
          </cell>
        </row>
        <row r="263">
          <cell r="B263" t="str">
            <v>TANCAGEM</v>
          </cell>
        </row>
        <row r="264">
          <cell r="B264" t="str">
            <v>TECHBIOS</v>
          </cell>
        </row>
        <row r="265">
          <cell r="B265" t="str">
            <v>TG-5301 B</v>
          </cell>
        </row>
        <row r="266">
          <cell r="B266" t="str">
            <v>TG-5301 F</v>
          </cell>
        </row>
        <row r="267">
          <cell r="B267" t="str">
            <v>TG-5301-D</v>
          </cell>
        </row>
        <row r="268">
          <cell r="B268" t="str">
            <v>TQ-5303</v>
          </cell>
        </row>
        <row r="269">
          <cell r="B269" t="str">
            <v>TROCADORES UO-I</v>
          </cell>
        </row>
        <row r="270">
          <cell r="B270" t="str">
            <v>DET. GAS (UA-II)</v>
          </cell>
        </row>
        <row r="271">
          <cell r="B271" t="str">
            <v>TROCADORES UA-II</v>
          </cell>
        </row>
        <row r="272">
          <cell r="B272" t="str">
            <v>TURNO DESLOCADO</v>
          </cell>
        </row>
        <row r="273">
          <cell r="B273" t="str">
            <v>TURNO PARADA</v>
          </cell>
        </row>
        <row r="274">
          <cell r="B274" t="str">
            <v>VAZAMENTOS UO-II</v>
          </cell>
        </row>
        <row r="275">
          <cell r="B275" t="str">
            <v>VENT´S &amp; DRENOS</v>
          </cell>
        </row>
        <row r="276">
          <cell r="B276" t="str">
            <v>FB-1029</v>
          </cell>
        </row>
        <row r="277">
          <cell r="B277" t="str">
            <v>PAR. REGUL. UA-I</v>
          </cell>
        </row>
        <row r="278">
          <cell r="B278" t="str">
            <v>REGENER. A-2300</v>
          </cell>
        </row>
        <row r="279">
          <cell r="B279" t="str">
            <v>PAR. REGUL. UA-I_HH</v>
          </cell>
        </row>
        <row r="280">
          <cell r="B280" t="str">
            <v>BKM ALAGOAS</v>
          </cell>
        </row>
        <row r="281">
          <cell r="B281" t="str">
            <v>DA-5201a04</v>
          </cell>
        </row>
        <row r="282">
          <cell r="B282" t="str">
            <v>INSP. UO-I PAR.2019</v>
          </cell>
        </row>
        <row r="283">
          <cell r="B283" t="str">
            <v>INSP. UTE PAR.2019</v>
          </cell>
        </row>
        <row r="284">
          <cell r="B284" t="str">
            <v>INSP. UA-I PAR.2019</v>
          </cell>
        </row>
        <row r="285">
          <cell r="B285" t="str">
            <v>INSP. UA-I PAR.2019_MM</v>
          </cell>
        </row>
        <row r="286">
          <cell r="B286" t="str">
            <v>INSP. TIB PAR.2019</v>
          </cell>
        </row>
        <row r="287">
          <cell r="B287" t="str">
            <v>ESTRUTURA CONTAINER</v>
          </cell>
        </row>
        <row r="288">
          <cell r="B288" t="str">
            <v>PGM-2019_UO-I_HH</v>
          </cell>
        </row>
        <row r="289">
          <cell r="B289" t="str">
            <v>PGM-2019_UA-I_HH</v>
          </cell>
        </row>
        <row r="290">
          <cell r="B290" t="str">
            <v>PGM-2019_DA-1404</v>
          </cell>
        </row>
        <row r="291">
          <cell r="B291" t="str">
            <v>PGM-2019_CALDEIRARIA HH</v>
          </cell>
        </row>
        <row r="292">
          <cell r="B292" t="str">
            <v>FB-1027 B</v>
          </cell>
        </row>
        <row r="293">
          <cell r="B293" t="str">
            <v>FB-1023</v>
          </cell>
        </row>
        <row r="294">
          <cell r="B294" t="str">
            <v>CSI UA-I</v>
          </cell>
        </row>
        <row r="295">
          <cell r="B295" t="str">
            <v>CSI UA-I_HH</v>
          </cell>
        </row>
        <row r="296">
          <cell r="B296" t="str">
            <v>FB-1024</v>
          </cell>
        </row>
        <row r="297">
          <cell r="B297" t="str">
            <v>DC-1401</v>
          </cell>
        </row>
        <row r="298">
          <cell r="B298" t="str">
            <v>FB-970</v>
          </cell>
        </row>
        <row r="299">
          <cell r="B299" t="str">
            <v>FB-2051 B</v>
          </cell>
        </row>
        <row r="300">
          <cell r="B300" t="str">
            <v>FB-1006</v>
          </cell>
        </row>
        <row r="301">
          <cell r="B301" t="str">
            <v>FB-1006_HH</v>
          </cell>
        </row>
        <row r="302">
          <cell r="B302" t="str">
            <v>P-5301 C</v>
          </cell>
        </row>
        <row r="303">
          <cell r="B303" t="str">
            <v>P-5302 C</v>
          </cell>
        </row>
        <row r="304">
          <cell r="B304" t="str">
            <v>BA-4110</v>
          </cell>
        </row>
        <row r="305">
          <cell r="B305" t="str">
            <v>BA-4110_HH</v>
          </cell>
        </row>
        <row r="306">
          <cell r="B306" t="str">
            <v>BLACKOUT</v>
          </cell>
        </row>
        <row r="307">
          <cell r="B307" t="str">
            <v>EXTRA INSPEÇÃO</v>
          </cell>
        </row>
        <row r="308">
          <cell r="B308" t="str">
            <v>P-02B&amp;C</v>
          </cell>
        </row>
        <row r="309">
          <cell r="B309" t="str">
            <v>TUB. HID. SUL</v>
          </cell>
        </row>
        <row r="310">
          <cell r="B310" t="str">
            <v>D-5301A1&amp;A2</v>
          </cell>
        </row>
        <row r="311">
          <cell r="B311" t="str">
            <v>VAZAMENTOS UO-I</v>
          </cell>
        </row>
        <row r="312">
          <cell r="B312" t="str">
            <v>GB-5301</v>
          </cell>
        </row>
        <row r="313">
          <cell r="B313" t="str">
            <v>PLANO PINT. UTE</v>
          </cell>
        </row>
        <row r="314">
          <cell r="B314" t="str">
            <v>PLANO PINT. TUB. 9C</v>
          </cell>
        </row>
        <row r="315">
          <cell r="B315" t="str">
            <v>PLANO PINT. TUB. 9C_HH</v>
          </cell>
        </row>
        <row r="316">
          <cell r="B316" t="str">
            <v>TUB. 9C (CALDEIRARIA)</v>
          </cell>
        </row>
        <row r="317">
          <cell r="B317" t="str">
            <v>TUB. 32C 2017 - DTG</v>
          </cell>
        </row>
        <row r="318">
          <cell r="B318" t="str">
            <v>PREVENT.TQs</v>
          </cell>
        </row>
        <row r="319">
          <cell r="B319" t="str">
            <v>BA-4101</v>
          </cell>
        </row>
        <row r="320">
          <cell r="B320" t="str">
            <v>BA-4101_HH</v>
          </cell>
        </row>
        <row r="321">
          <cell r="B321" t="str">
            <v>BA-1108</v>
          </cell>
        </row>
        <row r="322">
          <cell r="B322" t="str">
            <v>BA-1108_HH</v>
          </cell>
        </row>
        <row r="323">
          <cell r="B323" t="str">
            <v>BA-4106</v>
          </cell>
        </row>
        <row r="324">
          <cell r="B324" t="str">
            <v>BA-4106_HH</v>
          </cell>
        </row>
        <row r="325">
          <cell r="B325" t="str">
            <v>SSMA</v>
          </cell>
        </row>
        <row r="326">
          <cell r="B326" t="str">
            <v>PJ DEP - BA-4101</v>
          </cell>
        </row>
        <row r="327">
          <cell r="B327" t="str">
            <v>REC´s 2019 TIB</v>
          </cell>
        </row>
        <row r="328">
          <cell r="B328" t="str">
            <v>REC´s 2019 UO</v>
          </cell>
        </row>
        <row r="329">
          <cell r="B329" t="str">
            <v>REC´s 2019 UA</v>
          </cell>
        </row>
        <row r="330">
          <cell r="B330" t="str">
            <v>REC´s 2019 UTE</v>
          </cell>
        </row>
        <row r="331">
          <cell r="B331" t="str">
            <v>MB-5302A</v>
          </cell>
        </row>
        <row r="332">
          <cell r="B332" t="str">
            <v>PJ-0601157 (BA-4101)</v>
          </cell>
        </row>
        <row r="333">
          <cell r="B333" t="str">
            <v>PJ-0601157</v>
          </cell>
        </row>
        <row r="334">
          <cell r="B334" t="str">
            <v>PJ-0601133</v>
          </cell>
        </row>
        <row r="335">
          <cell r="B335" t="str">
            <v>PJ-0601179 (A-2300)</v>
          </cell>
        </row>
        <row r="336">
          <cell r="B336" t="str">
            <v>PJ-0601179 (A-2300)_HH</v>
          </cell>
        </row>
        <row r="337">
          <cell r="B337" t="str">
            <v>PJ-0601179 (A-300)</v>
          </cell>
        </row>
        <row r="338">
          <cell r="B338" t="str">
            <v>PJ-0600663 (SE-21)</v>
          </cell>
        </row>
        <row r="339">
          <cell r="B339" t="str">
            <v>PJ-06001147 (ILHA 6/9)_HH</v>
          </cell>
        </row>
        <row r="340">
          <cell r="B340" t="str">
            <v>PJ-06001147 (ILHA 6/9)</v>
          </cell>
        </row>
        <row r="341">
          <cell r="B341" t="str">
            <v>PJ-0600603 (FB's PTE)</v>
          </cell>
        </row>
        <row r="342">
          <cell r="B342" t="str">
            <v>PJ-0600603 (FB's PTE)_HH</v>
          </cell>
        </row>
        <row r="343">
          <cell r="B343" t="str">
            <v>PJ-0601129_HH</v>
          </cell>
        </row>
        <row r="344">
          <cell r="B344" t="str">
            <v>PJ-0601718_HH</v>
          </cell>
        </row>
        <row r="345">
          <cell r="B345" t="str">
            <v>PJ-0601175 (TEGAL)</v>
          </cell>
        </row>
        <row r="346">
          <cell r="B346" t="str">
            <v>PJ-0601175 (TEGAL)_HH</v>
          </cell>
        </row>
        <row r="347">
          <cell r="B347" t="str">
            <v>PJ-0601035 (TEGAL)</v>
          </cell>
        </row>
        <row r="348">
          <cell r="B348" t="str">
            <v>PJ-0600952 (UTE)</v>
          </cell>
        </row>
        <row r="349">
          <cell r="B349" t="str">
            <v>PJ-0601717 (UTE)</v>
          </cell>
        </row>
        <row r="350">
          <cell r="B350" t="str">
            <v>PJ-0601717 (UTE)_HH</v>
          </cell>
        </row>
        <row r="351">
          <cell r="B351" t="str">
            <v>PJ-0601019 (A-2350)</v>
          </cell>
        </row>
        <row r="352">
          <cell r="B352" t="str">
            <v>PJ-0601019 (A-2350)_HH</v>
          </cell>
        </row>
        <row r="353">
          <cell r="B353" t="str">
            <v>PJ-0601158</v>
          </cell>
        </row>
        <row r="354">
          <cell r="B354" t="str">
            <v>PJ-0601600</v>
          </cell>
        </row>
        <row r="355">
          <cell r="B355" t="str">
            <v>PJ-0601585</v>
          </cell>
        </row>
        <row r="356">
          <cell r="B356" t="str">
            <v>PJ-0600281</v>
          </cell>
        </row>
        <row r="357">
          <cell r="B357" t="str">
            <v>PJ-0601398_HH</v>
          </cell>
        </row>
        <row r="358">
          <cell r="B358" t="str">
            <v>PJ-0601549_HH</v>
          </cell>
        </row>
        <row r="359">
          <cell r="B359" t="str">
            <v>PJ-0600281_HH</v>
          </cell>
        </row>
        <row r="360">
          <cell r="B360" t="str">
            <v>PJ-0600478 (A-2300)</v>
          </cell>
        </row>
        <row r="361">
          <cell r="B361" t="str">
            <v>PJ-0600478 (A-2300)_HH</v>
          </cell>
        </row>
        <row r="362">
          <cell r="B362" t="str">
            <v>PJ-0600603 (FB-973)</v>
          </cell>
        </row>
        <row r="363">
          <cell r="B363" t="str">
            <v>PJ-0600596</v>
          </cell>
        </row>
        <row r="364">
          <cell r="B364" t="str">
            <v>PJ-0600596_HH</v>
          </cell>
        </row>
        <row r="365">
          <cell r="B365" t="str">
            <v>PJ-0601509</v>
          </cell>
        </row>
        <row r="366">
          <cell r="B366" t="str">
            <v>PJ-0601509_HH</v>
          </cell>
        </row>
        <row r="367">
          <cell r="B367" t="str">
            <v>PJ-0601262</v>
          </cell>
        </row>
        <row r="368">
          <cell r="B368" t="str">
            <v>PJ-0601820</v>
          </cell>
        </row>
        <row r="369">
          <cell r="B369" t="str">
            <v>PJ-0601820_HH</v>
          </cell>
        </row>
        <row r="370">
          <cell r="B370" t="str">
            <v>PJ-0601667</v>
          </cell>
        </row>
        <row r="371">
          <cell r="B371" t="str">
            <v>PJ-0601667_HH</v>
          </cell>
        </row>
        <row r="372">
          <cell r="B372" t="str">
            <v>PJ-0600730_HH</v>
          </cell>
        </row>
        <row r="373">
          <cell r="B373" t="str">
            <v>PJ-0601478_HH</v>
          </cell>
        </row>
        <row r="374">
          <cell r="B374" t="str">
            <v>PJ-0602915_HH</v>
          </cell>
        </row>
        <row r="375">
          <cell r="B375" t="str">
            <v>PJ-0600892_HH</v>
          </cell>
        </row>
        <row r="376">
          <cell r="B376" t="str">
            <v>PJ-0601820</v>
          </cell>
        </row>
        <row r="377">
          <cell r="B377" t="str">
            <v>PJ-0601568</v>
          </cell>
        </row>
        <row r="378">
          <cell r="B378" t="str">
            <v>PJ-0601172</v>
          </cell>
        </row>
        <row r="379">
          <cell r="B379" t="str">
            <v>INSP. PAR. A-8200</v>
          </cell>
        </row>
        <row r="380">
          <cell r="B380" t="str">
            <v>PIT STOP A-8200</v>
          </cell>
        </row>
        <row r="381">
          <cell r="B381" t="str">
            <v>PJ-0601432</v>
          </cell>
        </row>
        <row r="382">
          <cell r="B382" t="str">
            <v>PJ-0601432_HH</v>
          </cell>
        </row>
        <row r="383">
          <cell r="B383" t="str">
            <v>PJ-0601415</v>
          </cell>
        </row>
        <row r="384">
          <cell r="B384" t="str">
            <v>GV-5301 B</v>
          </cell>
        </row>
        <row r="385">
          <cell r="B385" t="str">
            <v>GV-5301 B_HH</v>
          </cell>
        </row>
        <row r="386">
          <cell r="B386" t="str">
            <v>DA-5202 D</v>
          </cell>
        </row>
        <row r="387">
          <cell r="B387" t="str">
            <v>PJ-0600782 (DA-4104)</v>
          </cell>
        </row>
        <row r="388">
          <cell r="B388" t="str">
            <v>PAR. OXITENO</v>
          </cell>
        </row>
        <row r="389">
          <cell r="B389" t="str">
            <v>DTG A-1000</v>
          </cell>
        </row>
        <row r="390">
          <cell r="B390" t="str">
            <v>PIT STOP UO-I</v>
          </cell>
        </row>
        <row r="391">
          <cell r="B391" t="str">
            <v>PIT STOP A-2300</v>
          </cell>
        </row>
        <row r="392">
          <cell r="B392" t="str">
            <v>DTP UA-II</v>
          </cell>
        </row>
        <row r="393">
          <cell r="B393" t="str">
            <v>DTG A-1000_HH</v>
          </cell>
        </row>
        <row r="394">
          <cell r="B394" t="str">
            <v>A-350</v>
          </cell>
        </row>
        <row r="395">
          <cell r="B395" t="str">
            <v>PLANTÃO</v>
          </cell>
        </row>
        <row r="396">
          <cell r="B396" t="str">
            <v>DA-4103</v>
          </cell>
        </row>
        <row r="397">
          <cell r="B397" t="str">
            <v>CXS CD/OD</v>
          </cell>
        </row>
        <row r="398">
          <cell r="B398" t="str">
            <v>ELÉTRICA</v>
          </cell>
        </row>
        <row r="399">
          <cell r="B399" t="str">
            <v>PAR. A-350</v>
          </cell>
        </row>
        <row r="400">
          <cell r="B400" t="str">
            <v>PAR. A-350_HH</v>
          </cell>
        </row>
        <row r="401">
          <cell r="B401" t="str">
            <v>DC-1401 A</v>
          </cell>
        </row>
        <row r="402">
          <cell r="B402" t="str">
            <v>FB-1010</v>
          </cell>
        </row>
        <row r="403">
          <cell r="B403" t="str">
            <v>BA-1105_HH</v>
          </cell>
        </row>
        <row r="404">
          <cell r="B404" t="str">
            <v>BA-4103_HH</v>
          </cell>
        </row>
        <row r="405">
          <cell r="B405" t="str">
            <v>FB-1009</v>
          </cell>
        </row>
        <row r="406">
          <cell r="B406" t="str">
            <v>FB-973</v>
          </cell>
        </row>
        <row r="407">
          <cell r="B407" t="str">
            <v>FB-1009_HH</v>
          </cell>
        </row>
        <row r="408">
          <cell r="B408" t="str">
            <v>FB-963 A</v>
          </cell>
        </row>
        <row r="409">
          <cell r="B409" t="str">
            <v>FB-963 B</v>
          </cell>
        </row>
        <row r="410">
          <cell r="B410" t="str">
            <v>FB-963 A_HH</v>
          </cell>
        </row>
        <row r="411">
          <cell r="B411" t="str">
            <v>LINHA FW</v>
          </cell>
        </row>
        <row r="412">
          <cell r="B412" t="str">
            <v>BA-1104 (BARREIRAS)</v>
          </cell>
        </row>
        <row r="413">
          <cell r="B413" t="str">
            <v>BA-4102 (BARREIRAS)</v>
          </cell>
        </row>
        <row r="414">
          <cell r="B414" t="str">
            <v>LINHA DE 20"&amp;60"</v>
          </cell>
        </row>
        <row r="415">
          <cell r="B415" t="str">
            <v>LH DE CI (GV-5301 D)</v>
          </cell>
        </row>
        <row r="416">
          <cell r="B416" t="str">
            <v>UA-III</v>
          </cell>
        </row>
        <row r="417">
          <cell r="B417" t="str">
            <v>ADEQUAÇÃO A-350</v>
          </cell>
        </row>
        <row r="418">
          <cell r="B418" t="str">
            <v>GBM-1940-AX</v>
          </cell>
        </row>
        <row r="419">
          <cell r="B419" t="str">
            <v>PJ_PR-15002_ISOL.</v>
          </cell>
        </row>
        <row r="420">
          <cell r="B420" t="str">
            <v>PJ_A-1000_ISOL.</v>
          </cell>
        </row>
        <row r="421">
          <cell r="B421" t="str">
            <v>PASSARELA PV-13</v>
          </cell>
        </row>
        <row r="422">
          <cell r="B422" t="str">
            <v>OFICINA MECÂNICA</v>
          </cell>
        </row>
        <row r="423">
          <cell r="B423" t="str">
            <v>APOIO UO-II</v>
          </cell>
        </row>
        <row r="424">
          <cell r="B424" t="str">
            <v>GAVETEIRO CENTRAL</v>
          </cell>
        </row>
        <row r="425">
          <cell r="B425" t="str">
            <v>GAVETEIRO UTE</v>
          </cell>
        </row>
        <row r="426">
          <cell r="B426" t="str">
            <v>FB-1052</v>
          </cell>
        </row>
        <row r="427">
          <cell r="B427" t="str">
            <v>BA-1105</v>
          </cell>
        </row>
        <row r="428">
          <cell r="B428" t="str">
            <v>P-5302 A</v>
          </cell>
        </row>
        <row r="429">
          <cell r="B429" t="str">
            <v>GAVETEIRO</v>
          </cell>
        </row>
        <row r="430">
          <cell r="B430" t="str">
            <v>BA-1112 (BARREIRAS)</v>
          </cell>
        </row>
        <row r="431">
          <cell r="B431" t="str">
            <v>BA-1112_HH</v>
          </cell>
        </row>
        <row r="432">
          <cell r="B432" t="str">
            <v>BA-1113 (BARREIRAS)</v>
          </cell>
        </row>
        <row r="433">
          <cell r="B433" t="str">
            <v>BA-1111 (BARREIRAS)</v>
          </cell>
        </row>
        <row r="434">
          <cell r="B434" t="str">
            <v>BA-1111</v>
          </cell>
        </row>
        <row r="435">
          <cell r="B435" t="str">
            <v>BA-4104 (BARREIRAS)</v>
          </cell>
        </row>
        <row r="436">
          <cell r="B436" t="str">
            <v>BA-1109 (BARREIRAS)</v>
          </cell>
        </row>
        <row r="437">
          <cell r="B437" t="str">
            <v>BA-1104</v>
          </cell>
        </row>
        <row r="438">
          <cell r="B438" t="str">
            <v>FB-1021 B</v>
          </cell>
        </row>
        <row r="439">
          <cell r="B439" t="str">
            <v>BA-4108_HH</v>
          </cell>
        </row>
        <row r="440">
          <cell r="B440" t="str">
            <v>BA-4109_HH</v>
          </cell>
        </row>
        <row r="441">
          <cell r="B441" t="str">
            <v>BA-1113_HH</v>
          </cell>
        </row>
        <row r="442">
          <cell r="B442" t="str">
            <v>BA-4105</v>
          </cell>
        </row>
        <row r="443">
          <cell r="B443" t="str">
            <v>BA-4104</v>
          </cell>
        </row>
        <row r="444">
          <cell r="B444" t="str">
            <v>BA-1109</v>
          </cell>
        </row>
        <row r="445">
          <cell r="B445" t="str">
            <v>BANDEIJAMENTO A-1060</v>
          </cell>
        </row>
        <row r="446">
          <cell r="B446" t="str">
            <v>GBT-1201</v>
          </cell>
        </row>
        <row r="447">
          <cell r="B447" t="str">
            <v>BA-1106_HH</v>
          </cell>
        </row>
        <row r="448">
          <cell r="B448" t="str">
            <v>BA-1106</v>
          </cell>
        </row>
        <row r="449">
          <cell r="B449" t="str">
            <v>GV-5301 C</v>
          </cell>
        </row>
        <row r="450">
          <cell r="B450" t="str">
            <v>GV-5301 C_HH</v>
          </cell>
        </row>
        <row r="451">
          <cell r="B451" t="str">
            <v>GV-5301 A</v>
          </cell>
        </row>
        <row r="452">
          <cell r="B452" t="str">
            <v>GV-5301 A_HH</v>
          </cell>
        </row>
        <row r="453">
          <cell r="B453" t="str">
            <v>GARANTIA</v>
          </cell>
        </row>
        <row r="454">
          <cell r="B454" t="str">
            <v>GI-4101 A</v>
          </cell>
        </row>
        <row r="455">
          <cell r="B455" t="str">
            <v>GI-4101 A_HH</v>
          </cell>
        </row>
        <row r="456">
          <cell r="B456" t="str">
            <v>EF-25201 - TEGAL</v>
          </cell>
        </row>
        <row r="457">
          <cell r="B457" t="str">
            <v>FB-1003 X</v>
          </cell>
        </row>
        <row r="458">
          <cell r="B458" t="str">
            <v>FB-1003 X_HH</v>
          </cell>
        </row>
        <row r="459">
          <cell r="B459" t="str">
            <v>FB-961 D</v>
          </cell>
        </row>
        <row r="460">
          <cell r="B460" t="str">
            <v>TEGAL_DTG</v>
          </cell>
        </row>
        <row r="461">
          <cell r="B461" t="str">
            <v>P-5302 A</v>
          </cell>
        </row>
        <row r="462">
          <cell r="B462" t="str">
            <v>CALDERARIA / REC ESTRUTURAS</v>
          </cell>
        </row>
        <row r="463">
          <cell r="B463" t="str">
            <v>APOIO A PINTURA - TAGEAMENTO</v>
          </cell>
        </row>
        <row r="464">
          <cell r="B464" t="str">
            <v>RW-17002 - A-1900</v>
          </cell>
        </row>
        <row r="465">
          <cell r="B465" t="str">
            <v>APOIO PARA ISOLAMENTO VASOS</v>
          </cell>
        </row>
        <row r="466">
          <cell r="B466" t="str">
            <v>CASA DOS COMPRESSORES</v>
          </cell>
        </row>
        <row r="467">
          <cell r="B467" t="str">
            <v>APOIO ELÉTRICA</v>
          </cell>
        </row>
        <row r="468">
          <cell r="B468" t="str">
            <v>SE-32</v>
          </cell>
        </row>
        <row r="469">
          <cell r="B469" t="str">
            <v>SOP 47/43</v>
          </cell>
        </row>
        <row r="470">
          <cell r="B470" t="str">
            <v>APOIO PIPE RACK</v>
          </cell>
        </row>
        <row r="471">
          <cell r="B471" t="str">
            <v>SISTEMA VS</v>
          </cell>
        </row>
        <row r="472">
          <cell r="B472" t="str">
            <v>DA-1202</v>
          </cell>
        </row>
        <row r="473">
          <cell r="B473" t="str">
            <v>REVISÃO RECs</v>
          </cell>
        </row>
        <row r="474">
          <cell r="B474" t="str">
            <v>LB-1200</v>
          </cell>
        </row>
        <row r="475">
          <cell r="B475" t="str">
            <v>PIPE RACK A-900</v>
          </cell>
        </row>
        <row r="476">
          <cell r="B476" t="str">
            <v>APOIO PARADA DA PLANTA</v>
          </cell>
        </row>
        <row r="477">
          <cell r="B477" t="str">
            <v>PARQUE ESFERAS</v>
          </cell>
        </row>
        <row r="478">
          <cell r="B478" t="str">
            <v>SILENCIOSOS</v>
          </cell>
        </row>
        <row r="479">
          <cell r="B479" t="str">
            <v>APOIO HIDROJATO</v>
          </cell>
        </row>
        <row r="480">
          <cell r="B480" t="str">
            <v>PARADA UO I - ÁREA 900</v>
          </cell>
        </row>
        <row r="481">
          <cell r="B481" t="str">
            <v>EA-1403 - APOIO OPERAÇÃO</v>
          </cell>
        </row>
        <row r="482">
          <cell r="B482" t="str">
            <v>...</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o"/>
      <sheetName val="CurvaSAF"/>
      <sheetName val="Prod"/>
      <sheetName val="CurvaSAF Eq"/>
      <sheetName val="Fatores"/>
      <sheetName val="Fatores (2)"/>
      <sheetName val="Resumo Geral 27-02"/>
      <sheetName val="CurvaSAF_Eq"/>
      <sheetName val="Fatores_(2)"/>
      <sheetName val="Resumo_Geral_27-02"/>
    </sheetNames>
    <sheetDataSet>
      <sheetData sheetId="0">
        <row r="7">
          <cell r="B7" t="str">
            <v>TOTAL</v>
          </cell>
        </row>
      </sheetData>
      <sheetData sheetId="1"/>
      <sheetData sheetId="2"/>
      <sheetData sheetId="3"/>
      <sheetData sheetId="4"/>
      <sheetData sheetId="5"/>
      <sheetData sheetId="6" refreshError="1"/>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FAB"/>
      <sheetName val="FERR"/>
      <sheetName val="ISOL"/>
      <sheetName val="Avanço Físico Sem26"/>
      <sheetName val="Rel.Desvios"/>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Sem26"/>
      <sheetName val="Capa Plan.Sem26"/>
      <sheetName val="CronoEquip"/>
      <sheetName val="CronoMOI"/>
      <sheetName val="CronoMOD"/>
      <sheetName val="Rel.Desvios"/>
      <sheetName val="Prog.Semanal"/>
      <sheetName val="CurvaSAF"/>
      <sheetName val="Manuscrito"/>
      <sheetName val="Cronoliberacao"/>
      <sheetName val="Avanço Físico Sem26"/>
      <sheetName val="PFAB"/>
      <sheetName val="FERR"/>
      <sheetName val="ISOL"/>
      <sheetName val="REV"/>
      <sheetName val="ACAB"/>
      <sheetName val="Dados"/>
      <sheetName val="TABELAS"/>
      <sheetName val="FONTE"/>
      <sheetName val="Apoio_Criterios"/>
      <sheetName val="Responsáv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C1" t="str">
            <v>ACOMPANHAMENTO DO AVANÇO FÍSICO DA OBRA</v>
          </cell>
        </row>
        <row r="4">
          <cell r="C4" t="str">
            <v>Obra: Expansão da Alunorte - PCK 022</v>
          </cell>
        </row>
        <row r="7">
          <cell r="C7" t="str">
            <v>Ref.: Serviços de Montagem de Isolamento Térmico</v>
          </cell>
        </row>
        <row r="9">
          <cell r="A9" t="str">
            <v>Obra:</v>
          </cell>
          <cell r="B9" t="str">
            <v>Alunorte - PCK 022</v>
          </cell>
        </row>
        <row r="10">
          <cell r="A10" t="str">
            <v>Local:</v>
          </cell>
          <cell r="B10" t="str">
            <v>Barcarena - PA</v>
          </cell>
        </row>
        <row r="11">
          <cell r="B11" t="str">
            <v>PRÉ-FABRICAÇÃO</v>
          </cell>
          <cell r="C11" t="str">
            <v>% AVANÇO FÍSICO</v>
          </cell>
        </row>
        <row r="12">
          <cell r="B12" t="str">
            <v>EQUIPAMENTO</v>
          </cell>
          <cell r="C12">
            <v>5</v>
          </cell>
          <cell r="D12">
            <v>10</v>
          </cell>
          <cell r="E12">
            <v>15</v>
          </cell>
          <cell r="F12">
            <v>20</v>
          </cell>
          <cell r="G12">
            <v>25</v>
          </cell>
          <cell r="H12">
            <v>30</v>
          </cell>
          <cell r="I12">
            <v>35</v>
          </cell>
          <cell r="J12">
            <v>40</v>
          </cell>
          <cell r="K12">
            <v>45</v>
          </cell>
          <cell r="L12">
            <v>50</v>
          </cell>
          <cell r="M12">
            <v>55</v>
          </cell>
          <cell r="N12">
            <v>60</v>
          </cell>
          <cell r="O12">
            <v>65</v>
          </cell>
          <cell r="P12">
            <v>70</v>
          </cell>
          <cell r="Q12">
            <v>75</v>
          </cell>
          <cell r="R12">
            <v>80</v>
          </cell>
          <cell r="S12">
            <v>85</v>
          </cell>
          <cell r="T12">
            <v>90</v>
          </cell>
          <cell r="U12">
            <v>95</v>
          </cell>
          <cell r="V12">
            <v>100</v>
          </cell>
        </row>
      </sheetData>
      <sheetData sheetId="12" refreshError="1">
        <row r="1">
          <cell r="C1" t="str">
            <v>ACOMPANHAMENTO DO AVANÇO FÍSICO DA OBRA</v>
          </cell>
        </row>
        <row r="4">
          <cell r="C4" t="str">
            <v>Obra: Expansão da Alunorte - PCK 022</v>
          </cell>
        </row>
        <row r="7">
          <cell r="C7" t="str">
            <v>Ref.: Serviços de Montagem de Isolamento Térmico</v>
          </cell>
        </row>
        <row r="9">
          <cell r="A9" t="str">
            <v>Obra:</v>
          </cell>
          <cell r="B9" t="str">
            <v>Alunorte - PCK 022</v>
          </cell>
        </row>
        <row r="10">
          <cell r="A10" t="str">
            <v>Local:</v>
          </cell>
          <cell r="B10" t="str">
            <v>Barcarena - PA</v>
          </cell>
        </row>
        <row r="11">
          <cell r="B11" t="str">
            <v>FERRAGENS</v>
          </cell>
          <cell r="C11" t="str">
            <v>% AVANÇO FÍSICO</v>
          </cell>
        </row>
        <row r="12">
          <cell r="B12" t="str">
            <v>EQUIPAMENTO</v>
          </cell>
          <cell r="C12">
            <v>5</v>
          </cell>
          <cell r="D12">
            <v>10</v>
          </cell>
          <cell r="E12">
            <v>15</v>
          </cell>
          <cell r="F12">
            <v>20</v>
          </cell>
          <cell r="G12">
            <v>25</v>
          </cell>
          <cell r="H12">
            <v>30</v>
          </cell>
          <cell r="I12">
            <v>35</v>
          </cell>
          <cell r="J12">
            <v>40</v>
          </cell>
          <cell r="K12">
            <v>45</v>
          </cell>
          <cell r="L12">
            <v>50</v>
          </cell>
          <cell r="M12">
            <v>55</v>
          </cell>
          <cell r="N12">
            <v>60</v>
          </cell>
          <cell r="O12">
            <v>65</v>
          </cell>
          <cell r="P12">
            <v>70</v>
          </cell>
          <cell r="Q12">
            <v>75</v>
          </cell>
          <cell r="R12">
            <v>80</v>
          </cell>
          <cell r="S12">
            <v>85</v>
          </cell>
          <cell r="T12">
            <v>90</v>
          </cell>
          <cell r="U12">
            <v>95</v>
          </cell>
          <cell r="V12">
            <v>100</v>
          </cell>
        </row>
      </sheetData>
      <sheetData sheetId="13" refreshError="1">
        <row r="1">
          <cell r="C1" t="str">
            <v>ACOMPANHAMENTO DO AVANÇO FÍSICO DA OBRA</v>
          </cell>
        </row>
        <row r="4">
          <cell r="C4" t="str">
            <v>Obra: Expansão da Alunorte - PCK 022</v>
          </cell>
        </row>
        <row r="7">
          <cell r="C7" t="str">
            <v>Ref.: Serviços de Montagem de Isolamento Térmico</v>
          </cell>
        </row>
        <row r="9">
          <cell r="A9" t="str">
            <v>Obra:</v>
          </cell>
          <cell r="B9" t="str">
            <v>Alunorte - PCK 022</v>
          </cell>
        </row>
        <row r="10">
          <cell r="A10" t="str">
            <v>Local:</v>
          </cell>
          <cell r="B10" t="str">
            <v>Barcarena - PA</v>
          </cell>
        </row>
        <row r="11">
          <cell r="B11" t="str">
            <v>ISOLAMENTO</v>
          </cell>
          <cell r="C11" t="str">
            <v>% AVANÇO FÍSICO</v>
          </cell>
        </row>
        <row r="12">
          <cell r="B12" t="str">
            <v>EQUIPAMENTO</v>
          </cell>
          <cell r="C12">
            <v>5</v>
          </cell>
          <cell r="D12">
            <v>10</v>
          </cell>
          <cell r="E12">
            <v>15</v>
          </cell>
          <cell r="F12">
            <v>20</v>
          </cell>
          <cell r="G12">
            <v>25</v>
          </cell>
          <cell r="H12">
            <v>30</v>
          </cell>
          <cell r="I12">
            <v>35</v>
          </cell>
          <cell r="J12">
            <v>40</v>
          </cell>
          <cell r="K12">
            <v>45</v>
          </cell>
          <cell r="L12">
            <v>50</v>
          </cell>
          <cell r="M12">
            <v>55</v>
          </cell>
          <cell r="N12">
            <v>60</v>
          </cell>
          <cell r="O12">
            <v>65</v>
          </cell>
          <cell r="P12">
            <v>70</v>
          </cell>
          <cell r="Q12">
            <v>75</v>
          </cell>
          <cell r="R12">
            <v>80</v>
          </cell>
          <cell r="S12">
            <v>85</v>
          </cell>
          <cell r="T12">
            <v>90</v>
          </cell>
          <cell r="U12">
            <v>95</v>
          </cell>
          <cell r="V12">
            <v>100</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ário"/>
      <sheetName val="IEG"/>
      <sheetName val="Indisp5200"/>
      <sheetName val="Indisp5000"/>
      <sheetName val="Indisp7000"/>
      <sheetName val="PerdasClasses"/>
      <sheetName val="Perdas"/>
      <sheetName val="Eventos2001"/>
      <sheetName val="Perdas (2)"/>
      <sheetName val="ResultadosUnidades"/>
      <sheetName val="U7000"/>
      <sheetName val="U8500"/>
      <sheetName val="U6000"/>
      <sheetName val="U5000"/>
      <sheetName val="U5200"/>
      <sheetName val="BD-CV"/>
      <sheetName val="Preços"/>
      <sheetName val="DADOS"/>
      <sheetName val="CoefRef"/>
      <sheetName val="CoefTécnicos-ton"/>
      <sheetName val="PerdasIEG"/>
      <sheetName val="GênerosClasses"/>
      <sheetName val="TabRefer"/>
      <sheetName val="Sheet1"/>
      <sheetName val="Parâmetros"/>
      <sheetName val="TUB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S Slit Coil (Centralia)"/>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otting Criteria"/>
      <sheetName val="Purchased Lotting Summary"/>
      <sheetName val="All Purchased Data"/>
      <sheetName val="Lighting (Martin)"/>
      <sheetName val="Lighting (Juarez)"/>
      <sheetName val="Lighting (Christiansburg)"/>
      <sheetName val="HPS Pipe (Centralia) "/>
      <sheetName val="HPS Slit Coil (Centralia)"/>
      <sheetName val="HPS Plate (Centralia)"/>
      <sheetName val="Wiring (Puerto Rico)"/>
      <sheetName val="HEP (Freeburg)"/>
      <sheetName val="HEP (Arden)"/>
      <sheetName val="HPS Slit Coil _Centralia_"/>
      <sheetName val="tab_listas"/>
      <sheetName val="REVISOES"/>
      <sheetName val="FROTA"/>
      <sheetName val="ÔNIBUS_SUMARE"/>
      <sheetName val="MICRO_SUMARE"/>
      <sheetName val="ÔNIBUS_CAMPINAS"/>
      <sheetName val="ÔNIBUS_SANTO ANDRE"/>
      <sheetName val="VAN_BARUERI"/>
      <sheetName val="RESUMO"/>
      <sheetName val="BDI"/>
      <sheetName val="COMBUSTÍVEL"/>
      <sheetName val="PIS-COFINS"/>
      <sheetName val="ENCARGOS"/>
      <sheetName val="ESTRUTURA"/>
      <sheetName val="UNIFORME&amp;EPI"/>
      <sheetName val="TREINAMENTO"/>
      <sheetName val="EXAMES&amp;PCMSO"/>
      <sheetName val="Equipamentos"/>
      <sheetName val="Utensílios"/>
      <sheetName val="Cash-Flow1"/>
      <sheetName val="Lotting_Criteria"/>
      <sheetName val="Purchased_Lotting_Summary"/>
      <sheetName val="All_Purchased_Data"/>
      <sheetName val="Lighting_(Martin)"/>
      <sheetName val="Lighting_(Juarez)"/>
      <sheetName val="Lighting_(Christiansburg)"/>
      <sheetName val="HPS_Pipe_(Centralia)_"/>
      <sheetName val="HPS_Slit_Coil_(Centralia)"/>
      <sheetName val="HPS_Plate_(Centralia)"/>
      <sheetName val="Wiring_(Puerto_Rico)"/>
      <sheetName val="HEP_(Freeburg)"/>
      <sheetName val="HEP_(Arden)"/>
      <sheetName val="HPS_Slit_Coil__Centralia_"/>
      <sheetName val="ÔNIBUS_SANTO_ANDRE"/>
      <sheetName val="Dados"/>
      <sheetName val="HPS_Slit_Coil__Centralia_1"/>
      <sheetName val="Lotting_Criteria1"/>
      <sheetName val="Purchased_Lotting_Summary1"/>
      <sheetName val="All_Purchased_Data1"/>
      <sheetName val="Lighting_(Martin)1"/>
      <sheetName val="Lighting_(Juarez)1"/>
      <sheetName val="Lighting_(Christiansburg)1"/>
      <sheetName val="HPS_Pipe_(Centralia)_1"/>
      <sheetName val="HPS_Slit_Coil_(Centralia)1"/>
      <sheetName val="HPS_Plate_(Centralia)1"/>
      <sheetName val="Wiring_(Puerto_Rico)1"/>
      <sheetName val="HEP_(Freeburg)1"/>
      <sheetName val="HEP_(Arden)1"/>
      <sheetName val="ÔNIBUS_SANTO_ANDRE1"/>
      <sheetName val="HPS_Slit_Coil__Centralia_2"/>
      <sheetName val="Lotting_Criteria2"/>
      <sheetName val="Purchased_Lotting_Summary2"/>
      <sheetName val="All_Purchased_Data2"/>
      <sheetName val="Lighting_(Martin)2"/>
      <sheetName val="Lighting_(Juarez)2"/>
      <sheetName val="Lighting_(Christiansburg)2"/>
      <sheetName val="HPS_Pipe_(Centralia)_2"/>
      <sheetName val="HPS_Slit_Coil_(Centralia)2"/>
      <sheetName val="HPS_Plate_(Centralia)2"/>
      <sheetName val="Wiring_(Puerto_Rico)2"/>
      <sheetName val="HEP_(Freeburg)2"/>
      <sheetName val="HEP_(Arden)2"/>
      <sheetName val="ÔNIBUS_SANTO_ANDRE2"/>
      <sheetName val="cód participantes"/>
      <sheetName val="Lista ANC"/>
      <sheetName val="Input &amp; Output"/>
      <sheetName val="3. Equip. Rotina - CF"/>
      <sheetName val="Plan1"/>
      <sheetName val="CORRELA_1993_à_1999"/>
      <sheetName val="Controls"/>
      <sheetName val="Libellés"/>
      <sheetName val="BS_ME_(Old)"/>
      <sheetName val="Referencias"/>
      <sheetName val="Meta10"/>
      <sheetName val="Uberlandia"/>
      <sheetName val="Meta11"/>
      <sheetName val="Meta12"/>
      <sheetName val="Meta13"/>
      <sheetName val="Meta14"/>
      <sheetName val="Meta15"/>
      <sheetName val="Meta16"/>
      <sheetName val="Meta2"/>
      <sheetName val="Meta3"/>
      <sheetName val="Meta4"/>
      <sheetName val="Meta5"/>
      <sheetName val="Meta6"/>
      <sheetName val="Meta7(2)"/>
      <sheetName val="Meta7"/>
      <sheetName val="Meta8"/>
      <sheetName val="Meta9"/>
      <sheetName val="Juin"/>
      <sheetName val="Juillet"/>
      <sheetName val="Août"/>
      <sheetName val="Septembre"/>
      <sheetName val="Octobre"/>
      <sheetName val="Novembre"/>
      <sheetName val="Décembre"/>
      <sheetName val="Janvier"/>
      <sheetName val="Février"/>
      <sheetName val="Mars"/>
      <sheetName val="Avril"/>
      <sheetName val="Mai"/>
      <sheetName val="TABLEAU_ECARTS"/>
      <sheetName val="TABLEAU"/>
      <sheetName val="RFQ Mão de Obra"/>
      <sheetName val="Manutenção"/>
      <sheetName val="MAT1"/>
      <sheetName val="MANUTENÇAO"/>
      <sheetName val="Follow Up Status"/>
      <sheetName val="Cenários Old"/>
      <sheetName val="Fonte"/>
      <sheetName val="Preço"/>
      <sheetName val="TOTAIS"/>
      <sheetName val="3. GRUPO DE CATEGORIA"/>
      <sheetName val="Lista Suspensa"/>
      <sheetName val="apoio"/>
      <sheetName val="2. Resumo Cotação"/>
      <sheetName val="Listas"/>
      <sheetName val="NOMECLATURA"/>
      <sheetName val="Plan2"/>
      <sheetName val="SET96"/>
      <sheetName val=""/>
      <sheetName val="aux"/>
      <sheetName val="5. IMPO LCL"/>
      <sheetName val="cód_participantes"/>
      <sheetName val="Lista_ANC"/>
      <sheetName val="Input_&amp;_Output"/>
      <sheetName val="LPU_COMTEC"/>
      <sheetName val="Dados 2"/>
      <sheetName val="Controle Spot"/>
      <sheetName val="Controle_valores fixos"/>
      <sheetName val="0-Histórico de Revisões"/>
      <sheetName val="1-Identificação"/>
      <sheetName val="2-Premissas"/>
      <sheetName val="3-Encargos Sociais "/>
      <sheetName val="4-Dados"/>
      <sheetName val="5-Salários"/>
      <sheetName val="6-SSO"/>
      <sheetName val="7-Mat Eqp e Outros"/>
      <sheetName val="8-por função"/>
      <sheetName val="9-Custo"/>
      <sheetName val="10-Preço"/>
      <sheetName val="11-Hh"/>
      <sheetName val="12-Composição"/>
      <sheetName val="13-Tabela Preços"/>
      <sheetName val="15-Histórico Versões"/>
      <sheetName val="14-Fluxo de caixa"/>
      <sheetName val="PLANILHA ABERTA"/>
      <sheetName val="Planilha1"/>
      <sheetName val="RESUMO REV 00 E 01"/>
      <sheetName val="Escalas"/>
      <sheetName val="Endereços Unidades"/>
      <sheetName val="CPU - Mão de Obra"/>
      <sheetName val="Lotting_Criteria3"/>
      <sheetName val="Purchased_Lotting_Summary3"/>
      <sheetName val="All_Purchased_Data3"/>
      <sheetName val="Lighting_(Martin)3"/>
      <sheetName val="Lighting_(Juarez)3"/>
      <sheetName val="Lighting_(Christiansburg)3"/>
      <sheetName val="HPS_Pipe_(Centralia)_3"/>
      <sheetName val="HPS_Slit_Coil_(Centralia)3"/>
      <sheetName val="HPS_Plate_(Centralia)3"/>
      <sheetName val="Wiring_(Puerto_Rico)3"/>
      <sheetName val="HEP_(Freeburg)3"/>
      <sheetName val="HEP_(Arden)3"/>
      <sheetName val="HPS_Slit_Coil__Centralia_3"/>
      <sheetName val="ÔNIBUS_SANTO_ANDRE3"/>
      <sheetName val="cód_participantes1"/>
      <sheetName val="Lista_ANC1"/>
      <sheetName val="Input_&amp;_Output1"/>
      <sheetName val="Follow_Up_Status"/>
      <sheetName val="RFQ_Mão_de_Obra"/>
      <sheetName val="Cenários_Old"/>
      <sheetName val="5__IMPO_LCL"/>
      <sheetName val="3__Equip__Rotina_-_CF"/>
      <sheetName val="3__GRUPO_DE_CATEGORIA"/>
      <sheetName val="Lista_Suspensa"/>
      <sheetName val="2__Resumo_Cotação"/>
      <sheetName val="Comparativos Revisão"/>
      <sheetName val="Comparativos CMOC"/>
      <sheetName val="Passo 2"/>
      <sheetName val="Planilha de Cotação"/>
      <sheetName val="8. TABELAS DE REFERÊNCIAS"/>
      <sheetName val="Suporte"/>
      <sheetName val="Dimensionamento"/>
      <sheetName val="Reference"/>
      <sheetName val="References"/>
      <sheetName val="Referência"/>
      <sheetName val="master data file"/>
      <sheetName val="Original"/>
      <sheetName val="master_data_file"/>
      <sheetName val="constants"/>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sheetData sheetId="81"/>
      <sheetData sheetId="82"/>
      <sheetData sheetId="83"/>
      <sheetData sheetId="84"/>
      <sheetData sheetId="85"/>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sheetData sheetId="108"/>
      <sheetData sheetId="109"/>
      <sheetData sheetId="110"/>
      <sheetData sheetId="111"/>
      <sheetData sheetId="112"/>
      <sheetData sheetId="113"/>
      <sheetData sheetId="114" refreshError="1"/>
      <sheetData sheetId="115" refreshError="1"/>
      <sheetData sheetId="116" refreshError="1"/>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sheetData sheetId="136" refreshError="1"/>
      <sheetData sheetId="137" refreshError="1"/>
      <sheetData sheetId="138"/>
      <sheetData sheetId="139"/>
      <sheetData sheetId="140"/>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refreshError="1"/>
      <sheetData sheetId="195" refreshError="1"/>
      <sheetData sheetId="196"/>
      <sheetData sheetId="197" refreshError="1"/>
      <sheetData sheetId="198"/>
      <sheetData sheetId="199" refreshError="1"/>
      <sheetData sheetId="200" refreshError="1"/>
      <sheetData sheetId="201" refreshError="1"/>
      <sheetData sheetId="202" refreshError="1"/>
      <sheetData sheetId="203" refreshError="1"/>
      <sheetData sheetId="204"/>
      <sheetData sheetId="20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1:A10" totalsRowShown="0" dataDxfId="59">
  <autoFilter ref="A1:A10" xr:uid="{00000000-0009-0000-0100-000002000000}"/>
  <tableColumns count="1">
    <tableColumn id="1" xr3:uid="{00000000-0010-0000-0000-000001000000}" name="Espessuras (m)" dataDxfId="58"/>
  </tableColumns>
  <tableStyleInfo name="TableStyleLight9"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6.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omments" Target="../comments4.xml"/><Relationship Id="rId5" Type="http://schemas.openxmlformats.org/officeDocument/2006/relationships/image" Target="../media/image1.emf"/><Relationship Id="rId4" Type="http://schemas.openxmlformats.org/officeDocument/2006/relationships/oleObject" Target="../embeddings/oleObject8.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3.xml"/><Relationship Id="rId1" Type="http://schemas.openxmlformats.org/officeDocument/2006/relationships/printerSettings" Target="../printerSettings/printerSettings17.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3.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mailto:wilian@risoterm.com.br"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4.x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8" Type="http://schemas.openxmlformats.org/officeDocument/2006/relationships/oleObject" Target="../embeddings/oleObject5.bin"/><Relationship Id="rId3" Type="http://schemas.openxmlformats.org/officeDocument/2006/relationships/vmlDrawing" Target="../drawings/vmlDrawing3.vml"/><Relationship Id="rId7" Type="http://schemas.openxmlformats.org/officeDocument/2006/relationships/oleObject" Target="../embeddings/oleObject4.bin"/><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oleObject" Target="../embeddings/oleObject3.bin"/><Relationship Id="rId5" Type="http://schemas.openxmlformats.org/officeDocument/2006/relationships/image" Target="../media/image1.emf"/><Relationship Id="rId10" Type="http://schemas.openxmlformats.org/officeDocument/2006/relationships/oleObject" Target="../embeddings/oleObject7.bin"/><Relationship Id="rId4" Type="http://schemas.openxmlformats.org/officeDocument/2006/relationships/oleObject" Target="../embeddings/oleObject2.bin"/><Relationship Id="rId9" Type="http://schemas.openxmlformats.org/officeDocument/2006/relationships/oleObject" Target="../embeddings/oleObject6.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7">
    <tabColor theme="9" tint="-0.249977111117893"/>
    <pageSetUpPr fitToPage="1"/>
  </sheetPr>
  <dimension ref="A1:AL92"/>
  <sheetViews>
    <sheetView showGridLines="0" view="pageBreakPreview" topLeftCell="D5" zoomScale="74" zoomScaleNormal="74" zoomScaleSheetLayoutView="74" workbookViewId="0">
      <selection activeCell="AE5" sqref="AE5"/>
    </sheetView>
  </sheetViews>
  <sheetFormatPr defaultColWidth="9.109375" defaultRowHeight="13.2" x14ac:dyDescent="0.25"/>
  <cols>
    <col min="1" max="1" width="18.44140625" style="151" customWidth="1"/>
    <col min="2" max="20" width="4.44140625" style="151" customWidth="1"/>
    <col min="21" max="21" width="5.44140625" style="151" customWidth="1"/>
    <col min="22" max="22" width="4.44140625" style="151" customWidth="1"/>
    <col min="23" max="23" width="28" style="151" customWidth="1"/>
    <col min="24" max="24" width="19.109375" style="151" customWidth="1"/>
    <col min="25" max="26" width="9.44140625" style="151" customWidth="1"/>
    <col min="27" max="27" width="17.6640625" style="151" customWidth="1"/>
    <col min="28" max="28" width="23.44140625" style="151" customWidth="1"/>
    <col min="29" max="29" width="24.44140625" style="151" customWidth="1"/>
    <col min="30" max="30" width="9.109375" style="151"/>
    <col min="31" max="31" width="27.33203125" style="151" customWidth="1"/>
    <col min="32" max="32" width="16" style="151" bestFit="1" customWidth="1"/>
    <col min="33" max="34" width="9.109375" style="151"/>
    <col min="35" max="35" width="14.44140625" style="151" bestFit="1" customWidth="1"/>
    <col min="36" max="36" width="9.109375" style="151"/>
    <col min="37" max="37" width="14.44140625" style="151" bestFit="1" customWidth="1"/>
    <col min="38" max="38" width="16" style="151" bestFit="1" customWidth="1"/>
    <col min="39" max="16384" width="9.109375" style="151"/>
  </cols>
  <sheetData>
    <row r="1" spans="1:38" ht="45" customHeight="1" x14ac:dyDescent="0.25">
      <c r="A1" s="200" t="s">
        <v>576</v>
      </c>
      <c r="B1" s="199"/>
      <c r="C1" s="199"/>
      <c r="D1" s="199"/>
      <c r="E1" s="199"/>
      <c r="F1" s="199"/>
      <c r="G1" s="199"/>
      <c r="H1" s="199"/>
      <c r="I1" s="199"/>
      <c r="J1" s="199"/>
      <c r="K1" s="199"/>
      <c r="L1" s="199"/>
      <c r="M1" s="199"/>
      <c r="N1" s="199"/>
      <c r="O1" s="199"/>
      <c r="P1" s="199"/>
      <c r="Q1" s="199"/>
      <c r="R1" s="199"/>
      <c r="S1" s="199"/>
      <c r="T1" s="199"/>
      <c r="U1" s="199"/>
      <c r="V1" s="199"/>
      <c r="W1" s="199"/>
      <c r="X1" s="198"/>
      <c r="Y1" s="198"/>
      <c r="Z1" s="198"/>
      <c r="AA1" s="197"/>
      <c r="AB1" s="197"/>
      <c r="AC1" s="196"/>
      <c r="AD1" s="195"/>
      <c r="AE1" s="195"/>
      <c r="AF1" s="195"/>
      <c r="AG1" s="195"/>
      <c r="AH1" s="195"/>
      <c r="AI1" s="195"/>
    </row>
    <row r="2" spans="1:38" ht="14.25" customHeight="1" x14ac:dyDescent="0.25">
      <c r="A2" s="751" t="s">
        <v>573</v>
      </c>
      <c r="B2" s="763"/>
      <c r="C2" s="763"/>
      <c r="D2" s="763"/>
      <c r="E2" s="763"/>
      <c r="F2" s="766" t="s">
        <v>574</v>
      </c>
      <c r="G2" s="766"/>
      <c r="H2" s="766"/>
      <c r="I2" s="766"/>
      <c r="J2" s="766"/>
      <c r="K2" s="766"/>
      <c r="L2" s="766"/>
      <c r="M2" s="766"/>
      <c r="N2" s="766"/>
      <c r="O2" s="766"/>
      <c r="P2" s="766"/>
      <c r="Q2" s="766"/>
      <c r="R2" s="767"/>
      <c r="S2" s="745" t="s">
        <v>572</v>
      </c>
      <c r="T2" s="759"/>
      <c r="U2" s="759"/>
      <c r="V2" s="759"/>
      <c r="W2" s="746"/>
      <c r="X2" s="745" t="s">
        <v>571</v>
      </c>
      <c r="Y2" s="759"/>
      <c r="Z2" s="746"/>
      <c r="AA2" s="745" t="s">
        <v>570</v>
      </c>
      <c r="AB2" s="746"/>
      <c r="AC2" s="194" t="s">
        <v>569</v>
      </c>
    </row>
    <row r="3" spans="1:38" ht="36.75" customHeight="1" x14ac:dyDescent="0.25">
      <c r="A3" s="764"/>
      <c r="B3" s="765"/>
      <c r="C3" s="765"/>
      <c r="D3" s="765"/>
      <c r="E3" s="765"/>
      <c r="F3" s="768"/>
      <c r="G3" s="768"/>
      <c r="H3" s="768"/>
      <c r="I3" s="768"/>
      <c r="J3" s="768"/>
      <c r="K3" s="768"/>
      <c r="L3" s="768"/>
      <c r="M3" s="768"/>
      <c r="N3" s="768"/>
      <c r="O3" s="768"/>
      <c r="P3" s="768"/>
      <c r="Q3" s="768"/>
      <c r="R3" s="769"/>
      <c r="S3" s="747" t="s">
        <v>575</v>
      </c>
      <c r="T3" s="748"/>
      <c r="U3" s="748"/>
      <c r="V3" s="748"/>
      <c r="W3" s="749"/>
      <c r="X3" s="747"/>
      <c r="Y3" s="748"/>
      <c r="Z3" s="749"/>
      <c r="AA3" s="750">
        <f ca="1">TODAY()</f>
        <v>45636</v>
      </c>
      <c r="AB3" s="749"/>
      <c r="AC3" s="193" t="s">
        <v>587</v>
      </c>
    </row>
    <row r="4" spans="1:38" ht="13.5" customHeight="1" x14ac:dyDescent="0.25">
      <c r="A4" s="751" t="s">
        <v>568</v>
      </c>
      <c r="B4" s="752"/>
      <c r="C4" s="752"/>
      <c r="D4" s="752"/>
      <c r="E4" s="752"/>
      <c r="F4" s="755" t="e">
        <f>AS!AL38</f>
        <v>#REF!</v>
      </c>
      <c r="G4" s="755"/>
      <c r="H4" s="755"/>
      <c r="I4" s="755"/>
      <c r="J4" s="755"/>
      <c r="K4" s="755"/>
      <c r="L4" s="755"/>
      <c r="M4" s="756"/>
      <c r="N4" s="745" t="s">
        <v>577</v>
      </c>
      <c r="O4" s="759"/>
      <c r="P4" s="759"/>
      <c r="Q4" s="759"/>
      <c r="R4" s="759"/>
      <c r="S4" s="759"/>
      <c r="T4" s="759"/>
      <c r="U4" s="759"/>
      <c r="V4" s="759"/>
      <c r="W4" s="746"/>
      <c r="X4" s="745" t="s">
        <v>567</v>
      </c>
      <c r="Y4" s="759"/>
      <c r="Z4" s="746"/>
      <c r="AA4" s="745" t="s">
        <v>566</v>
      </c>
      <c r="AB4" s="759"/>
      <c r="AC4" s="746"/>
    </row>
    <row r="5" spans="1:38" ht="30.75" customHeight="1" x14ac:dyDescent="0.25">
      <c r="A5" s="753"/>
      <c r="B5" s="754"/>
      <c r="C5" s="754"/>
      <c r="D5" s="754"/>
      <c r="E5" s="754"/>
      <c r="F5" s="757"/>
      <c r="G5" s="757"/>
      <c r="H5" s="757"/>
      <c r="I5" s="757"/>
      <c r="J5" s="757"/>
      <c r="K5" s="757"/>
      <c r="L5" s="757"/>
      <c r="M5" s="758"/>
      <c r="N5" s="760" t="s">
        <v>578</v>
      </c>
      <c r="O5" s="761"/>
      <c r="P5" s="761"/>
      <c r="Q5" s="761"/>
      <c r="R5" s="761"/>
      <c r="S5" s="761"/>
      <c r="T5" s="761"/>
      <c r="U5" s="761"/>
      <c r="V5" s="761"/>
      <c r="W5" s="762"/>
      <c r="X5" s="747" t="s">
        <v>579</v>
      </c>
      <c r="Y5" s="748"/>
      <c r="Z5" s="749"/>
      <c r="AA5" s="747" t="s">
        <v>580</v>
      </c>
      <c r="AB5" s="748"/>
      <c r="AC5" s="749"/>
      <c r="AE5" s="463" t="e">
        <f>F4/AB8</f>
        <v>#REF!</v>
      </c>
      <c r="AF5" s="464">
        <f>1044.35*1087.38</f>
        <v>1135605.3030000001</v>
      </c>
    </row>
    <row r="6" spans="1:38" ht="12.75" customHeight="1" x14ac:dyDescent="0.25">
      <c r="A6" s="176"/>
      <c r="X6" s="192"/>
      <c r="Y6" s="191"/>
      <c r="Z6" s="191"/>
      <c r="AA6" s="190"/>
      <c r="AB6" s="190"/>
      <c r="AC6" s="189"/>
    </row>
    <row r="7" spans="1:38" ht="12.75" customHeight="1" x14ac:dyDescent="0.25">
      <c r="A7" s="176"/>
      <c r="G7" s="163"/>
      <c r="H7" s="161"/>
      <c r="R7" s="163"/>
      <c r="X7" s="183"/>
      <c r="AA7" s="172"/>
      <c r="AB7" s="172"/>
      <c r="AC7" s="171"/>
    </row>
    <row r="8" spans="1:38" ht="20.100000000000001" customHeight="1" x14ac:dyDescent="0.25">
      <c r="A8" s="176"/>
      <c r="E8" s="163"/>
      <c r="X8" s="744" t="s">
        <v>565</v>
      </c>
      <c r="Y8" s="744"/>
      <c r="Z8" s="744"/>
      <c r="AA8" s="744"/>
      <c r="AB8" s="740">
        <f>'Cálc economia (25%)'!AH11</f>
        <v>1044.3513121800001</v>
      </c>
      <c r="AC8" s="741"/>
      <c r="AE8" s="151">
        <f>50/1000</f>
        <v>0.05</v>
      </c>
      <c r="AF8" s="151">
        <f>AE8*AB8</f>
        <v>52.217565609000012</v>
      </c>
    </row>
    <row r="9" spans="1:38" ht="20.100000000000001" customHeight="1" x14ac:dyDescent="0.25">
      <c r="A9" s="176"/>
      <c r="E9" s="163"/>
      <c r="X9" s="735" t="s">
        <v>564</v>
      </c>
      <c r="Y9" s="736"/>
      <c r="Z9" s="736"/>
      <c r="AA9" s="737"/>
      <c r="AB9" s="742"/>
      <c r="AC9" s="743"/>
      <c r="AI9" s="151">
        <v>2</v>
      </c>
      <c r="AJ9" s="151">
        <f>AI9/AI11</f>
        <v>0.25</v>
      </c>
    </row>
    <row r="10" spans="1:38" ht="20.100000000000001" customHeight="1" x14ac:dyDescent="0.25">
      <c r="A10" s="176"/>
      <c r="E10" s="163"/>
      <c r="X10" s="735" t="s">
        <v>563</v>
      </c>
      <c r="Y10" s="736"/>
      <c r="Z10" s="736"/>
      <c r="AA10" s="737"/>
      <c r="AB10" s="742"/>
      <c r="AC10" s="743"/>
      <c r="AI10" s="151">
        <v>6</v>
      </c>
      <c r="AJ10" s="151">
        <f>AI10/AI11</f>
        <v>0.75</v>
      </c>
    </row>
    <row r="11" spans="1:38" ht="20.100000000000001" customHeight="1" x14ac:dyDescent="0.25">
      <c r="A11" s="176"/>
      <c r="X11" s="735" t="s">
        <v>562</v>
      </c>
      <c r="Y11" s="736"/>
      <c r="Z11" s="736"/>
      <c r="AA11" s="737"/>
      <c r="AB11" s="733">
        <v>8</v>
      </c>
      <c r="AC11" s="734"/>
      <c r="AI11" s="151">
        <v>8</v>
      </c>
    </row>
    <row r="12" spans="1:38" ht="20.100000000000001" customHeight="1" x14ac:dyDescent="0.25">
      <c r="A12" s="176"/>
      <c r="X12" s="735" t="s">
        <v>561</v>
      </c>
      <c r="Y12" s="736"/>
      <c r="Z12" s="736"/>
      <c r="AA12" s="737"/>
      <c r="AB12" s="738">
        <v>1.9</v>
      </c>
      <c r="AC12" s="739"/>
      <c r="AD12" s="151" t="s">
        <v>560</v>
      </c>
      <c r="AE12" s="151">
        <f>AB12/8.8</f>
        <v>0.21590909090909088</v>
      </c>
    </row>
    <row r="13" spans="1:38" ht="20.100000000000001" customHeight="1" x14ac:dyDescent="0.25">
      <c r="A13" s="188"/>
      <c r="B13" s="161"/>
      <c r="C13" s="161"/>
      <c r="D13" s="161"/>
      <c r="E13" s="161"/>
      <c r="F13" s="161"/>
      <c r="G13" s="161"/>
      <c r="H13" s="161"/>
      <c r="I13" s="161"/>
      <c r="J13" s="163"/>
      <c r="K13" s="161"/>
      <c r="L13" s="161"/>
      <c r="M13" s="161"/>
      <c r="N13" s="161"/>
      <c r="O13" s="161"/>
      <c r="P13" s="161"/>
      <c r="Q13" s="161"/>
      <c r="R13" s="161"/>
      <c r="S13" s="161"/>
      <c r="T13" s="161"/>
      <c r="U13" s="161"/>
      <c r="V13" s="161"/>
      <c r="X13" s="735" t="s">
        <v>559</v>
      </c>
      <c r="Y13" s="736"/>
      <c r="Z13" s="736"/>
      <c r="AA13" s="737"/>
      <c r="AB13" s="738">
        <f>AB8/(AB11*AB12)</f>
        <v>68.707323169736853</v>
      </c>
      <c r="AC13" s="739"/>
      <c r="AD13" s="151">
        <f>AB13*8.8</f>
        <v>604.62444389368432</v>
      </c>
      <c r="AE13" s="151">
        <v>94.89</v>
      </c>
      <c r="AF13" s="375">
        <f>AE13*AD13</f>
        <v>57372.813481071702</v>
      </c>
      <c r="AH13" s="151">
        <v>61.88</v>
      </c>
      <c r="AI13" s="375">
        <f>AH13*AB14*0.75</f>
        <v>224484.96352884715</v>
      </c>
    </row>
    <row r="14" spans="1:38" ht="20.100000000000001" customHeight="1" x14ac:dyDescent="0.25">
      <c r="A14" s="176"/>
      <c r="X14" s="735" t="s">
        <v>558</v>
      </c>
      <c r="Y14" s="736"/>
      <c r="Z14" s="736"/>
      <c r="AA14" s="737"/>
      <c r="AB14" s="770">
        <f>AB13*8.8*AB11</f>
        <v>4836.9955511494745</v>
      </c>
      <c r="AC14" s="771"/>
      <c r="AE14" s="151">
        <v>67.52</v>
      </c>
      <c r="AF14" s="375">
        <f>AE14*AB14</f>
        <v>326593.93961361249</v>
      </c>
      <c r="AH14" s="151">
        <v>71.849999999999994</v>
      </c>
      <c r="AI14" s="375">
        <f>AH14*(AB14*0.25)</f>
        <v>86884.532587522423</v>
      </c>
    </row>
    <row r="15" spans="1:38" ht="20.100000000000001" customHeight="1" x14ac:dyDescent="0.25">
      <c r="A15" s="176"/>
      <c r="X15" s="772"/>
      <c r="Y15" s="773"/>
      <c r="Z15" s="773"/>
      <c r="AA15" s="773"/>
      <c r="AB15" s="774"/>
      <c r="AC15" s="775"/>
      <c r="AF15" s="376">
        <v>943825.42222222232</v>
      </c>
      <c r="AI15" s="375">
        <f>SUM(AI13:AI14)</f>
        <v>311369.49611636956</v>
      </c>
      <c r="AK15" s="375">
        <v>719725.00768104021</v>
      </c>
      <c r="AL15" s="376">
        <f>AK15+AI15</f>
        <v>1031094.5037974098</v>
      </c>
    </row>
    <row r="16" spans="1:38" ht="20.100000000000001" customHeight="1" x14ac:dyDescent="0.25">
      <c r="A16" s="176"/>
      <c r="X16" s="725"/>
      <c r="Y16" s="682"/>
      <c r="Z16" s="682"/>
      <c r="AA16" s="682"/>
      <c r="AB16" s="690"/>
      <c r="AC16" s="726"/>
      <c r="AE16" s="187"/>
    </row>
    <row r="17" spans="1:32" ht="20.100000000000001" customHeight="1" x14ac:dyDescent="0.3">
      <c r="A17" s="176"/>
      <c r="X17" s="183"/>
      <c r="AC17" s="182"/>
      <c r="AE17" s="186"/>
    </row>
    <row r="18" spans="1:32" ht="20.100000000000001" customHeight="1" x14ac:dyDescent="0.25">
      <c r="A18" s="176"/>
      <c r="X18" s="183"/>
      <c r="AC18" s="182"/>
      <c r="AE18" s="184"/>
      <c r="AF18" s="184"/>
    </row>
    <row r="19" spans="1:32" ht="20.100000000000001" customHeight="1" x14ac:dyDescent="0.25">
      <c r="A19" s="176"/>
      <c r="X19" s="183"/>
      <c r="AC19" s="182"/>
    </row>
    <row r="20" spans="1:32" ht="20.100000000000001" customHeight="1" x14ac:dyDescent="0.25">
      <c r="A20" s="176"/>
      <c r="X20" s="183"/>
      <c r="AC20" s="182"/>
      <c r="AE20" s="185">
        <v>1356030.85</v>
      </c>
    </row>
    <row r="21" spans="1:32" ht="20.100000000000001" customHeight="1" x14ac:dyDescent="0.25">
      <c r="A21" s="176"/>
      <c r="X21" s="183"/>
      <c r="AC21" s="182"/>
      <c r="AE21" s="184"/>
      <c r="AF21" s="184"/>
    </row>
    <row r="22" spans="1:32" ht="20.100000000000001" customHeight="1" x14ac:dyDescent="0.25">
      <c r="A22" s="176"/>
      <c r="X22" s="725"/>
      <c r="Y22" s="682"/>
      <c r="Z22" s="682"/>
      <c r="AA22" s="682"/>
      <c r="AB22" s="690"/>
      <c r="AC22" s="726"/>
      <c r="AE22" s="184"/>
    </row>
    <row r="23" spans="1:32" ht="20.100000000000001" customHeight="1" x14ac:dyDescent="0.25">
      <c r="A23" s="176"/>
      <c r="X23" s="183"/>
      <c r="AC23" s="182"/>
      <c r="AE23" s="184"/>
    </row>
    <row r="24" spans="1:32" ht="20.100000000000001" customHeight="1" x14ac:dyDescent="0.25">
      <c r="A24" s="176"/>
      <c r="X24" s="183"/>
      <c r="AC24" s="182"/>
      <c r="AE24" s="184"/>
    </row>
    <row r="25" spans="1:32" ht="20.100000000000001" customHeight="1" x14ac:dyDescent="0.25">
      <c r="A25" s="176"/>
      <c r="X25" s="183"/>
      <c r="AC25" s="182"/>
      <c r="AE25" s="184"/>
    </row>
    <row r="26" spans="1:32" ht="20.100000000000001" customHeight="1" x14ac:dyDescent="0.25">
      <c r="A26" s="176"/>
      <c r="X26" s="183"/>
      <c r="AC26" s="182"/>
      <c r="AE26" s="184"/>
    </row>
    <row r="27" spans="1:32" ht="20.100000000000001" customHeight="1" x14ac:dyDescent="0.25">
      <c r="A27" s="176"/>
      <c r="K27" s="161"/>
      <c r="X27" s="183"/>
      <c r="AC27" s="182"/>
      <c r="AE27" s="184"/>
    </row>
    <row r="28" spans="1:32" ht="20.100000000000001" customHeight="1" x14ac:dyDescent="0.25">
      <c r="A28" s="176"/>
      <c r="X28" s="183"/>
      <c r="AC28" s="182"/>
    </row>
    <row r="29" spans="1:32" ht="20.100000000000001" customHeight="1" x14ac:dyDescent="0.25">
      <c r="A29" s="176"/>
      <c r="X29" s="183"/>
      <c r="AC29" s="182"/>
    </row>
    <row r="30" spans="1:32" ht="20.100000000000001" customHeight="1" x14ac:dyDescent="0.25">
      <c r="A30" s="176"/>
      <c r="X30" s="183"/>
      <c r="AC30" s="182"/>
    </row>
    <row r="31" spans="1:32" ht="20.100000000000001" customHeight="1" x14ac:dyDescent="0.25">
      <c r="A31" s="176"/>
      <c r="X31" s="181"/>
      <c r="Y31" s="180"/>
      <c r="Z31" s="180"/>
      <c r="AA31" s="180"/>
      <c r="AB31" s="152"/>
      <c r="AC31" s="179"/>
    </row>
    <row r="32" spans="1:32" ht="20.100000000000001" customHeight="1" x14ac:dyDescent="0.25">
      <c r="A32" s="176"/>
      <c r="X32" s="178"/>
      <c r="Y32" s="177"/>
      <c r="Z32" s="177"/>
      <c r="AA32" s="177"/>
      <c r="AB32" s="162"/>
      <c r="AC32" s="174"/>
    </row>
    <row r="33" spans="1:35" ht="20.100000000000001" customHeight="1" x14ac:dyDescent="0.25">
      <c r="A33" s="176"/>
      <c r="X33" s="175"/>
      <c r="Y33" s="172"/>
      <c r="Z33" s="172"/>
      <c r="AA33" s="172"/>
      <c r="AB33" s="162"/>
      <c r="AC33" s="174"/>
    </row>
    <row r="34" spans="1:35" ht="5.25" customHeight="1" x14ac:dyDescent="0.25">
      <c r="A34" s="176"/>
      <c r="X34" s="175"/>
      <c r="Y34" s="172"/>
      <c r="Z34" s="172"/>
      <c r="AA34" s="172"/>
      <c r="AB34" s="156"/>
      <c r="AC34" s="174"/>
    </row>
    <row r="35" spans="1:35" ht="24.75" customHeight="1" x14ac:dyDescent="0.25">
      <c r="A35" s="727"/>
      <c r="B35" s="728"/>
      <c r="C35" s="728"/>
      <c r="D35" s="728"/>
      <c r="E35" s="728"/>
      <c r="F35" s="728"/>
      <c r="G35" s="728"/>
      <c r="H35" s="728"/>
      <c r="I35" s="728"/>
      <c r="J35" s="728"/>
      <c r="K35" s="728"/>
      <c r="L35" s="728"/>
      <c r="M35" s="728"/>
      <c r="N35" s="728"/>
      <c r="O35" s="728"/>
      <c r="P35" s="728"/>
      <c r="Q35" s="728"/>
      <c r="R35" s="728"/>
      <c r="S35" s="728"/>
      <c r="T35" s="728"/>
      <c r="U35" s="728"/>
      <c r="V35" s="728"/>
      <c r="W35" s="729"/>
      <c r="X35" s="175"/>
      <c r="Y35" s="172"/>
      <c r="Z35" s="172"/>
      <c r="AA35" s="172"/>
      <c r="AB35" s="156"/>
      <c r="AC35" s="174"/>
    </row>
    <row r="36" spans="1:35" ht="21.9" customHeight="1" x14ac:dyDescent="0.25">
      <c r="A36" s="730" t="s">
        <v>557</v>
      </c>
      <c r="B36" s="731"/>
      <c r="C36" s="731"/>
      <c r="D36" s="731"/>
      <c r="E36" s="731"/>
      <c r="F36" s="731"/>
      <c r="G36" s="731"/>
      <c r="H36" s="731"/>
      <c r="I36" s="731"/>
      <c r="J36" s="731"/>
      <c r="K36" s="731"/>
      <c r="L36" s="731"/>
      <c r="M36" s="731" t="s">
        <v>556</v>
      </c>
      <c r="N36" s="731"/>
      <c r="O36" s="731"/>
      <c r="P36" s="731"/>
      <c r="Q36" s="731"/>
      <c r="R36" s="731"/>
      <c r="S36" s="731"/>
      <c r="T36" s="731"/>
      <c r="U36" s="731"/>
      <c r="V36" s="731"/>
      <c r="W36" s="732"/>
      <c r="X36" s="173"/>
      <c r="Y36" s="172"/>
      <c r="Z36" s="172"/>
      <c r="AA36" s="172"/>
      <c r="AB36" s="172"/>
      <c r="AC36" s="171"/>
    </row>
    <row r="37" spans="1:35" ht="21.9" customHeight="1" x14ac:dyDescent="0.3">
      <c r="A37" s="691" t="s">
        <v>551</v>
      </c>
      <c r="B37" s="692"/>
      <c r="C37" s="692"/>
      <c r="D37" s="692"/>
      <c r="E37" s="692"/>
      <c r="F37" s="692"/>
      <c r="G37" s="692"/>
      <c r="H37" s="692"/>
      <c r="I37" s="692"/>
      <c r="J37" s="692"/>
      <c r="K37" s="692"/>
      <c r="L37" s="693"/>
      <c r="M37" s="694" t="s">
        <v>582</v>
      </c>
      <c r="N37" s="695"/>
      <c r="O37" s="695"/>
      <c r="P37" s="695"/>
      <c r="Q37" s="695"/>
      <c r="R37" s="695"/>
      <c r="S37" s="695"/>
      <c r="T37" s="695"/>
      <c r="U37" s="695"/>
      <c r="V37" s="695"/>
      <c r="W37" s="696"/>
      <c r="X37" s="697" t="s">
        <v>555</v>
      </c>
      <c r="Y37" s="698"/>
      <c r="Z37" s="698"/>
      <c r="AA37" s="698"/>
      <c r="AB37" s="698"/>
      <c r="AC37" s="699"/>
    </row>
    <row r="38" spans="1:35" ht="21.9" customHeight="1" x14ac:dyDescent="0.25">
      <c r="A38" s="170" t="s">
        <v>554</v>
      </c>
      <c r="B38" s="167"/>
      <c r="C38" s="167"/>
      <c r="D38" s="167"/>
      <c r="E38" s="167"/>
      <c r="F38" s="167"/>
      <c r="G38" s="167"/>
      <c r="H38" s="167"/>
      <c r="I38" s="167"/>
      <c r="J38" s="167"/>
      <c r="K38" s="167"/>
      <c r="L38" s="169"/>
      <c r="M38" s="168" t="s">
        <v>549</v>
      </c>
      <c r="N38" s="167"/>
      <c r="O38" s="167"/>
      <c r="P38" s="167"/>
      <c r="Q38" s="167"/>
      <c r="R38" s="167"/>
      <c r="S38" s="167"/>
      <c r="T38" s="167"/>
      <c r="U38" s="166"/>
      <c r="V38" s="166"/>
      <c r="W38" s="165"/>
      <c r="X38" s="700" t="s">
        <v>553</v>
      </c>
      <c r="Y38" s="701"/>
      <c r="Z38" s="701"/>
      <c r="AA38" s="701"/>
      <c r="AB38" s="701"/>
      <c r="AC38" s="702"/>
    </row>
    <row r="39" spans="1:35" ht="21.9" customHeight="1" x14ac:dyDescent="0.25">
      <c r="A39" s="719" t="s">
        <v>581</v>
      </c>
      <c r="B39" s="720"/>
      <c r="C39" s="720"/>
      <c r="D39" s="720"/>
      <c r="E39" s="720"/>
      <c r="F39" s="720"/>
      <c r="G39" s="720"/>
      <c r="H39" s="720"/>
      <c r="I39" s="720"/>
      <c r="J39" s="720"/>
      <c r="K39" s="720"/>
      <c r="L39" s="721"/>
      <c r="M39" s="168"/>
      <c r="N39" s="167"/>
      <c r="O39" s="167"/>
      <c r="P39" s="167"/>
      <c r="Q39" s="167"/>
      <c r="R39" s="167"/>
      <c r="S39" s="167"/>
      <c r="T39" s="167"/>
      <c r="U39" s="166"/>
      <c r="V39" s="166"/>
      <c r="W39" s="165"/>
      <c r="X39" s="700" t="s">
        <v>552</v>
      </c>
      <c r="Y39" s="701"/>
      <c r="Z39" s="701"/>
      <c r="AA39" s="701"/>
      <c r="AB39" s="701"/>
      <c r="AC39" s="702"/>
    </row>
    <row r="40" spans="1:35" ht="21.9" customHeight="1" x14ac:dyDescent="0.25">
      <c r="A40" s="722"/>
      <c r="B40" s="723"/>
      <c r="C40" s="723"/>
      <c r="D40" s="723"/>
      <c r="E40" s="723"/>
      <c r="F40" s="723"/>
      <c r="G40" s="723"/>
      <c r="H40" s="723"/>
      <c r="I40" s="723"/>
      <c r="J40" s="723"/>
      <c r="K40" s="723"/>
      <c r="L40" s="724"/>
      <c r="M40" s="168"/>
      <c r="N40" s="167"/>
      <c r="O40" s="167"/>
      <c r="P40" s="167"/>
      <c r="Q40" s="167"/>
      <c r="R40" s="167"/>
      <c r="S40" s="167"/>
      <c r="T40" s="167"/>
      <c r="U40" s="166"/>
      <c r="V40" s="166"/>
      <c r="W40" s="165"/>
      <c r="X40" s="700" t="s">
        <v>550</v>
      </c>
      <c r="Y40" s="701"/>
      <c r="Z40" s="701"/>
      <c r="AA40" s="701"/>
      <c r="AB40" s="701"/>
      <c r="AC40" s="702"/>
    </row>
    <row r="41" spans="1:35" ht="21.9" customHeight="1" x14ac:dyDescent="0.25">
      <c r="A41" s="170"/>
      <c r="B41" s="167"/>
      <c r="C41" s="167"/>
      <c r="D41" s="167"/>
      <c r="E41" s="167"/>
      <c r="F41" s="167"/>
      <c r="G41" s="167"/>
      <c r="H41" s="167"/>
      <c r="I41" s="167"/>
      <c r="J41" s="167"/>
      <c r="K41" s="167"/>
      <c r="L41" s="169"/>
      <c r="M41" s="168"/>
      <c r="N41" s="167"/>
      <c r="O41" s="167"/>
      <c r="P41" s="167"/>
      <c r="Q41" s="167"/>
      <c r="R41" s="167"/>
      <c r="S41" s="167"/>
      <c r="T41" s="167"/>
      <c r="U41" s="166"/>
      <c r="V41" s="166"/>
      <c r="W41" s="165"/>
      <c r="X41" s="700" t="s">
        <v>548</v>
      </c>
      <c r="Y41" s="701"/>
      <c r="Z41" s="701"/>
      <c r="AA41" s="701"/>
      <c r="AB41" s="701"/>
      <c r="AC41" s="702"/>
    </row>
    <row r="42" spans="1:35" ht="15.6" x14ac:dyDescent="0.3">
      <c r="A42" s="703"/>
      <c r="B42" s="704"/>
      <c r="C42" s="704"/>
      <c r="D42" s="704"/>
      <c r="E42" s="704"/>
      <c r="F42" s="704"/>
      <c r="G42" s="704"/>
      <c r="H42" s="704"/>
      <c r="I42" s="704"/>
      <c r="J42" s="704"/>
      <c r="K42" s="704"/>
      <c r="L42" s="705"/>
      <c r="M42" s="704"/>
      <c r="N42" s="704"/>
      <c r="O42" s="704"/>
      <c r="P42" s="704"/>
      <c r="Q42" s="704"/>
      <c r="R42" s="704"/>
      <c r="S42" s="704"/>
      <c r="T42" s="704"/>
      <c r="U42" s="704"/>
      <c r="V42" s="704"/>
      <c r="W42" s="705"/>
      <c r="X42" s="697" t="s">
        <v>547</v>
      </c>
      <c r="Y42" s="698"/>
      <c r="Z42" s="698"/>
      <c r="AA42" s="698"/>
      <c r="AB42" s="698"/>
      <c r="AC42" s="699"/>
      <c r="AD42" s="154"/>
      <c r="AE42" s="154"/>
      <c r="AF42" s="154"/>
      <c r="AG42" s="154"/>
      <c r="AH42" s="154"/>
      <c r="AI42" s="154"/>
    </row>
    <row r="43" spans="1:35" ht="12.75" customHeight="1" x14ac:dyDescent="0.25">
      <c r="A43" s="706"/>
      <c r="B43" s="707"/>
      <c r="C43" s="707"/>
      <c r="D43" s="707"/>
      <c r="E43" s="707"/>
      <c r="F43" s="707"/>
      <c r="G43" s="707"/>
      <c r="H43" s="707"/>
      <c r="I43" s="707"/>
      <c r="J43" s="707"/>
      <c r="K43" s="707"/>
      <c r="L43" s="708"/>
      <c r="M43" s="707"/>
      <c r="N43" s="707"/>
      <c r="O43" s="707"/>
      <c r="P43" s="707"/>
      <c r="Q43" s="707"/>
      <c r="R43" s="707"/>
      <c r="S43" s="707"/>
      <c r="T43" s="707"/>
      <c r="U43" s="707"/>
      <c r="V43" s="707"/>
      <c r="W43" s="708"/>
      <c r="X43" s="700" t="s">
        <v>546</v>
      </c>
      <c r="Y43" s="701"/>
      <c r="Z43" s="701"/>
      <c r="AA43" s="701"/>
      <c r="AB43" s="701"/>
      <c r="AC43" s="702"/>
    </row>
    <row r="44" spans="1:35" ht="12.75" customHeight="1" x14ac:dyDescent="0.25">
      <c r="A44" s="706"/>
      <c r="B44" s="707"/>
      <c r="C44" s="707"/>
      <c r="D44" s="707"/>
      <c r="E44" s="707"/>
      <c r="F44" s="707"/>
      <c r="G44" s="707"/>
      <c r="H44" s="707"/>
      <c r="I44" s="707"/>
      <c r="J44" s="707"/>
      <c r="K44" s="707"/>
      <c r="L44" s="708"/>
      <c r="M44" s="707"/>
      <c r="N44" s="707"/>
      <c r="O44" s="707"/>
      <c r="P44" s="707"/>
      <c r="Q44" s="707"/>
      <c r="R44" s="707"/>
      <c r="S44" s="707"/>
      <c r="T44" s="707"/>
      <c r="U44" s="707"/>
      <c r="V44" s="707"/>
      <c r="W44" s="708"/>
      <c r="X44" s="700"/>
      <c r="Y44" s="701"/>
      <c r="Z44" s="701"/>
      <c r="AA44" s="701"/>
      <c r="AB44" s="701"/>
      <c r="AC44" s="702"/>
    </row>
    <row r="45" spans="1:35" ht="12.75" customHeight="1" x14ac:dyDescent="0.25">
      <c r="A45" s="706"/>
      <c r="B45" s="707"/>
      <c r="C45" s="707"/>
      <c r="D45" s="707"/>
      <c r="E45" s="707"/>
      <c r="F45" s="707"/>
      <c r="G45" s="707"/>
      <c r="H45" s="707"/>
      <c r="I45" s="707"/>
      <c r="J45" s="707"/>
      <c r="K45" s="707"/>
      <c r="L45" s="708"/>
      <c r="M45" s="707"/>
      <c r="N45" s="707"/>
      <c r="O45" s="707"/>
      <c r="P45" s="707"/>
      <c r="Q45" s="707"/>
      <c r="R45" s="707"/>
      <c r="S45" s="707"/>
      <c r="T45" s="707"/>
      <c r="U45" s="707"/>
      <c r="V45" s="707"/>
      <c r="W45" s="708"/>
      <c r="X45" s="700"/>
      <c r="Y45" s="701"/>
      <c r="Z45" s="701"/>
      <c r="AA45" s="701"/>
      <c r="AB45" s="701"/>
      <c r="AC45" s="702"/>
    </row>
    <row r="46" spans="1:35" ht="12.75" customHeight="1" x14ac:dyDescent="0.25">
      <c r="A46" s="709"/>
      <c r="B46" s="710"/>
      <c r="C46" s="710"/>
      <c r="D46" s="710"/>
      <c r="E46" s="710"/>
      <c r="F46" s="710"/>
      <c r="G46" s="710"/>
      <c r="H46" s="710"/>
      <c r="I46" s="710"/>
      <c r="J46" s="710"/>
      <c r="K46" s="710"/>
      <c r="L46" s="711"/>
      <c r="M46" s="710"/>
      <c r="N46" s="710"/>
      <c r="O46" s="710"/>
      <c r="P46" s="710"/>
      <c r="Q46" s="710"/>
      <c r="R46" s="710"/>
      <c r="S46" s="710"/>
      <c r="T46" s="710"/>
      <c r="U46" s="710"/>
      <c r="V46" s="710"/>
      <c r="W46" s="711"/>
      <c r="X46" s="700"/>
      <c r="Y46" s="701"/>
      <c r="Z46" s="701"/>
      <c r="AA46" s="701"/>
      <c r="AB46" s="701"/>
      <c r="AC46" s="702"/>
    </row>
    <row r="47" spans="1:35" ht="23.25" customHeight="1" x14ac:dyDescent="0.25">
      <c r="A47" s="715" t="s">
        <v>588</v>
      </c>
      <c r="B47" s="716"/>
      <c r="C47" s="716"/>
      <c r="D47" s="716"/>
      <c r="E47" s="716"/>
      <c r="F47" s="716"/>
      <c r="G47" s="716"/>
      <c r="H47" s="716"/>
      <c r="I47" s="716"/>
      <c r="J47" s="716"/>
      <c r="K47" s="716"/>
      <c r="L47" s="717"/>
      <c r="M47" s="718" t="s">
        <v>545</v>
      </c>
      <c r="N47" s="716"/>
      <c r="O47" s="716"/>
      <c r="P47" s="716"/>
      <c r="Q47" s="716"/>
      <c r="R47" s="716"/>
      <c r="S47" s="716"/>
      <c r="T47" s="716"/>
      <c r="U47" s="716"/>
      <c r="V47" s="716"/>
      <c r="W47" s="717"/>
      <c r="X47" s="712"/>
      <c r="Y47" s="713"/>
      <c r="Z47" s="713"/>
      <c r="AA47" s="713"/>
      <c r="AB47" s="713"/>
      <c r="AC47" s="714"/>
    </row>
    <row r="49" spans="1:29" ht="13.8" x14ac:dyDescent="0.25">
      <c r="A49" s="685"/>
      <c r="B49" s="685"/>
      <c r="C49" s="685"/>
      <c r="D49" s="685"/>
      <c r="E49" s="685"/>
      <c r="F49" s="685"/>
      <c r="G49" s="685"/>
      <c r="H49" s="685"/>
      <c r="I49" s="685"/>
      <c r="J49" s="685"/>
      <c r="K49" s="685"/>
      <c r="L49" s="685"/>
      <c r="M49" s="685"/>
      <c r="N49" s="685"/>
      <c r="O49" s="685"/>
      <c r="P49" s="685"/>
      <c r="Q49" s="685"/>
      <c r="R49" s="685"/>
      <c r="S49" s="685"/>
      <c r="T49" s="685"/>
      <c r="U49" s="685"/>
      <c r="V49" s="685"/>
      <c r="W49" s="685"/>
      <c r="X49" s="686"/>
      <c r="Y49" s="686"/>
      <c r="Z49" s="686"/>
      <c r="AA49" s="679"/>
      <c r="AB49" s="679"/>
      <c r="AC49" s="679"/>
    </row>
    <row r="50" spans="1:29" ht="12.75" customHeight="1" x14ac:dyDescent="0.25">
      <c r="A50" s="687"/>
      <c r="B50" s="686"/>
      <c r="C50" s="686"/>
      <c r="D50" s="686"/>
      <c r="E50" s="686"/>
      <c r="F50" s="686"/>
      <c r="G50" s="686"/>
      <c r="H50" s="686"/>
      <c r="I50" s="686"/>
      <c r="J50" s="686"/>
      <c r="K50" s="686"/>
      <c r="L50" s="686"/>
      <c r="M50" s="686"/>
      <c r="N50" s="686"/>
      <c r="O50" s="686"/>
      <c r="P50" s="686"/>
      <c r="Q50" s="686"/>
      <c r="R50" s="686"/>
      <c r="S50" s="686"/>
      <c r="T50" s="686"/>
      <c r="U50" s="686"/>
      <c r="V50" s="686"/>
      <c r="W50" s="686"/>
      <c r="AA50" s="688"/>
      <c r="AB50" s="689"/>
      <c r="AC50" s="689"/>
    </row>
    <row r="51" spans="1:29" ht="12.75" customHeight="1" x14ac:dyDescent="0.25">
      <c r="C51" s="164"/>
      <c r="K51" s="163"/>
      <c r="S51" s="164"/>
      <c r="AA51" s="689"/>
      <c r="AB51" s="689"/>
      <c r="AC51" s="689"/>
    </row>
    <row r="52" spans="1:29" x14ac:dyDescent="0.25">
      <c r="AA52" s="679"/>
      <c r="AB52" s="679"/>
      <c r="AC52" s="679"/>
    </row>
    <row r="53" spans="1:29" x14ac:dyDescent="0.25">
      <c r="AA53" s="690"/>
      <c r="AB53" s="690"/>
      <c r="AC53" s="690"/>
    </row>
    <row r="54" spans="1:29" x14ac:dyDescent="0.25">
      <c r="G54" s="163"/>
      <c r="H54" s="161"/>
      <c r="R54" s="163"/>
      <c r="AA54" s="690"/>
      <c r="AB54" s="690"/>
      <c r="AC54" s="690"/>
    </row>
    <row r="55" spans="1:29" x14ac:dyDescent="0.25">
      <c r="E55" s="163"/>
      <c r="X55" s="679"/>
      <c r="Y55" s="680"/>
      <c r="Z55" s="680"/>
      <c r="AA55" s="679"/>
      <c r="AB55" s="679"/>
      <c r="AC55" s="679"/>
    </row>
    <row r="56" spans="1:29" x14ac:dyDescent="0.25">
      <c r="E56" s="163"/>
      <c r="X56" s="679"/>
      <c r="Y56" s="680"/>
      <c r="Z56" s="680"/>
      <c r="AA56" s="690"/>
      <c r="AB56" s="690"/>
      <c r="AC56" s="690"/>
    </row>
    <row r="57" spans="1:29" x14ac:dyDescent="0.25">
      <c r="E57" s="163"/>
      <c r="X57" s="679"/>
      <c r="Y57" s="680"/>
      <c r="Z57" s="680"/>
      <c r="AA57" s="690"/>
      <c r="AB57" s="690"/>
      <c r="AC57" s="690"/>
    </row>
    <row r="58" spans="1:29" ht="20.100000000000001" customHeight="1" x14ac:dyDescent="0.25">
      <c r="X58" s="152"/>
      <c r="Y58" s="680"/>
      <c r="Z58" s="680"/>
      <c r="AA58" s="680"/>
      <c r="AB58" s="680"/>
      <c r="AC58" s="680"/>
    </row>
    <row r="59" spans="1:29" ht="20.100000000000001" customHeight="1" x14ac:dyDescent="0.25">
      <c r="X59" s="152"/>
      <c r="Y59" s="681"/>
      <c r="Z59" s="682"/>
      <c r="AA59" s="682"/>
      <c r="AB59" s="682"/>
      <c r="AC59" s="682"/>
    </row>
    <row r="60" spans="1:29" ht="20.100000000000001" customHeight="1" x14ac:dyDescent="0.25">
      <c r="A60" s="161"/>
      <c r="B60" s="161"/>
      <c r="C60" s="161"/>
      <c r="D60" s="161"/>
      <c r="E60" s="161"/>
      <c r="F60" s="161"/>
      <c r="G60" s="161"/>
      <c r="H60" s="161"/>
      <c r="I60" s="161"/>
      <c r="J60" s="163"/>
      <c r="K60" s="161"/>
      <c r="L60" s="161"/>
      <c r="M60" s="161"/>
      <c r="N60" s="161"/>
      <c r="O60" s="161"/>
      <c r="P60" s="161"/>
      <c r="Q60" s="161"/>
      <c r="R60" s="161"/>
      <c r="S60" s="161"/>
      <c r="T60" s="161"/>
      <c r="U60" s="161"/>
      <c r="V60" s="161"/>
      <c r="X60" s="683"/>
      <c r="Y60" s="683"/>
      <c r="Z60" s="683"/>
      <c r="AA60" s="683"/>
      <c r="AB60" s="152"/>
      <c r="AC60" s="160"/>
    </row>
    <row r="61" spans="1:29" ht="20.100000000000001" customHeight="1" x14ac:dyDescent="0.25">
      <c r="X61" s="684"/>
      <c r="Y61" s="684"/>
      <c r="Z61" s="684"/>
      <c r="AA61" s="684"/>
      <c r="AB61" s="162"/>
      <c r="AC61" s="155"/>
    </row>
    <row r="62" spans="1:29" ht="20.100000000000001" customHeight="1" x14ac:dyDescent="0.25">
      <c r="X62" s="680"/>
      <c r="Y62" s="680"/>
      <c r="Z62" s="680"/>
      <c r="AA62" s="680"/>
      <c r="AB62" s="162"/>
      <c r="AC62" s="155"/>
    </row>
    <row r="63" spans="1:29" ht="20.100000000000001" customHeight="1" x14ac:dyDescent="0.25">
      <c r="X63" s="680"/>
      <c r="Y63" s="680"/>
      <c r="Z63" s="680"/>
      <c r="AA63" s="680"/>
      <c r="AB63" s="162"/>
      <c r="AC63" s="155"/>
    </row>
    <row r="64" spans="1:29" ht="20.100000000000001" customHeight="1" x14ac:dyDescent="0.25">
      <c r="X64" s="680"/>
      <c r="Y64" s="680"/>
      <c r="Z64" s="680"/>
      <c r="AA64" s="680"/>
      <c r="AB64" s="156"/>
      <c r="AC64" s="155"/>
    </row>
    <row r="65" spans="11:29" x14ac:dyDescent="0.25">
      <c r="X65" s="679"/>
      <c r="Y65" s="680"/>
      <c r="Z65" s="680"/>
      <c r="AA65" s="680"/>
      <c r="AB65" s="680"/>
      <c r="AC65" s="680"/>
    </row>
    <row r="66" spans="11:29" x14ac:dyDescent="0.25">
      <c r="X66" s="679"/>
      <c r="Y66" s="680"/>
      <c r="Z66" s="680"/>
      <c r="AA66" s="680"/>
      <c r="AB66" s="680"/>
      <c r="AC66" s="680"/>
    </row>
    <row r="67" spans="11:29" ht="20.100000000000001" customHeight="1" x14ac:dyDescent="0.25">
      <c r="X67" s="152"/>
      <c r="Y67" s="680"/>
      <c r="Z67" s="680"/>
      <c r="AA67" s="680"/>
      <c r="AB67" s="680"/>
      <c r="AC67" s="680"/>
    </row>
    <row r="68" spans="11:29" ht="20.100000000000001" customHeight="1" x14ac:dyDescent="0.25">
      <c r="X68" s="152"/>
      <c r="Y68" s="681"/>
      <c r="Z68" s="682"/>
      <c r="AA68" s="682"/>
      <c r="AB68" s="682"/>
      <c r="AC68" s="682"/>
    </row>
    <row r="69" spans="11:29" ht="20.100000000000001" customHeight="1" x14ac:dyDescent="0.25">
      <c r="X69" s="683"/>
      <c r="Y69" s="683"/>
      <c r="Z69" s="683"/>
      <c r="AA69" s="683"/>
      <c r="AB69" s="152"/>
      <c r="AC69" s="160"/>
    </row>
    <row r="70" spans="11:29" ht="20.100000000000001" customHeight="1" x14ac:dyDescent="0.25">
      <c r="X70" s="684"/>
      <c r="Y70" s="684"/>
      <c r="Z70" s="684"/>
      <c r="AA70" s="684"/>
      <c r="AB70" s="162"/>
      <c r="AC70" s="155"/>
    </row>
    <row r="71" spans="11:29" ht="20.100000000000001" customHeight="1" x14ac:dyDescent="0.25">
      <c r="X71" s="680"/>
      <c r="Y71" s="680"/>
      <c r="Z71" s="680"/>
      <c r="AA71" s="680"/>
      <c r="AB71" s="162"/>
      <c r="AC71" s="155"/>
    </row>
    <row r="72" spans="11:29" ht="20.100000000000001" customHeight="1" x14ac:dyDescent="0.25">
      <c r="X72" s="680"/>
      <c r="Y72" s="680"/>
      <c r="Z72" s="680"/>
      <c r="AA72" s="680"/>
      <c r="AB72" s="162"/>
      <c r="AC72" s="155"/>
    </row>
    <row r="73" spans="11:29" ht="20.100000000000001" customHeight="1" x14ac:dyDescent="0.25">
      <c r="X73" s="680"/>
      <c r="Y73" s="680"/>
      <c r="Z73" s="680"/>
      <c r="AA73" s="680"/>
      <c r="AB73" s="156"/>
      <c r="AC73" s="155"/>
    </row>
    <row r="74" spans="11:29" ht="20.100000000000001" customHeight="1" x14ac:dyDescent="0.25">
      <c r="K74" s="161"/>
      <c r="X74" s="679"/>
      <c r="Y74" s="680"/>
      <c r="Z74" s="680"/>
      <c r="AA74" s="680"/>
      <c r="AB74" s="680"/>
      <c r="AC74" s="680"/>
    </row>
    <row r="75" spans="11:29" x14ac:dyDescent="0.25">
      <c r="X75" s="679"/>
      <c r="Y75" s="680"/>
      <c r="Z75" s="680"/>
      <c r="AA75" s="680"/>
      <c r="AB75" s="680"/>
      <c r="AC75" s="680"/>
    </row>
    <row r="76" spans="11:29" ht="20.100000000000001" customHeight="1" x14ac:dyDescent="0.25">
      <c r="X76" s="152"/>
      <c r="Y76" s="680"/>
      <c r="Z76" s="680"/>
      <c r="AA76" s="680"/>
      <c r="AB76" s="680"/>
      <c r="AC76" s="680"/>
    </row>
    <row r="77" spans="11:29" ht="20.100000000000001" customHeight="1" x14ac:dyDescent="0.25">
      <c r="X77" s="152"/>
      <c r="Y77" s="681"/>
      <c r="Z77" s="682"/>
      <c r="AA77" s="682"/>
      <c r="AB77" s="682"/>
      <c r="AC77" s="682"/>
    </row>
    <row r="78" spans="11:29" ht="20.100000000000001" customHeight="1" x14ac:dyDescent="0.25">
      <c r="X78" s="683"/>
      <c r="Y78" s="683"/>
      <c r="Z78" s="683"/>
      <c r="AA78" s="683"/>
      <c r="AB78" s="152"/>
      <c r="AC78" s="160"/>
    </row>
    <row r="79" spans="11:29" ht="20.100000000000001" customHeight="1" x14ac:dyDescent="0.25">
      <c r="X79" s="684"/>
      <c r="Y79" s="684"/>
      <c r="Z79" s="684"/>
      <c r="AA79" s="684"/>
      <c r="AB79" s="159"/>
      <c r="AC79" s="155"/>
    </row>
    <row r="80" spans="11:29" ht="20.100000000000001" customHeight="1" x14ac:dyDescent="0.25">
      <c r="X80" s="680"/>
      <c r="Y80" s="680"/>
      <c r="Z80" s="680"/>
      <c r="AA80" s="680"/>
      <c r="AB80" s="159"/>
      <c r="AC80" s="158"/>
    </row>
    <row r="81" spans="1:29" ht="20.100000000000001" customHeight="1" x14ac:dyDescent="0.25">
      <c r="X81" s="680"/>
      <c r="Y81" s="680"/>
      <c r="Z81" s="680"/>
      <c r="AA81" s="680"/>
      <c r="AB81" s="159"/>
      <c r="AC81" s="158"/>
    </row>
    <row r="82" spans="1:29" ht="20.100000000000001" customHeight="1" x14ac:dyDescent="0.25">
      <c r="X82" s="680"/>
      <c r="Y82" s="680"/>
      <c r="Z82" s="680"/>
      <c r="AA82" s="680"/>
      <c r="AB82" s="156"/>
      <c r="AC82" s="155"/>
    </row>
    <row r="83" spans="1:29" ht="52.5" customHeight="1" x14ac:dyDescent="0.25">
      <c r="X83" s="676"/>
      <c r="Y83" s="676"/>
      <c r="Z83" s="676"/>
      <c r="AA83" s="676"/>
      <c r="AB83" s="676"/>
      <c r="AC83" s="676"/>
    </row>
    <row r="84" spans="1:29" ht="20.100000000000001" customHeight="1" x14ac:dyDescent="0.25">
      <c r="X84" s="157"/>
      <c r="Y84" s="157"/>
      <c r="Z84" s="157"/>
      <c r="AA84" s="157"/>
      <c r="AB84" s="156"/>
      <c r="AC84" s="155"/>
    </row>
    <row r="85" spans="1:29" ht="20.100000000000001" customHeight="1" x14ac:dyDescent="0.25">
      <c r="X85" s="157"/>
      <c r="Y85" s="157"/>
      <c r="Z85" s="157"/>
      <c r="AA85" s="157"/>
      <c r="AB85" s="156"/>
      <c r="AC85" s="155"/>
    </row>
    <row r="86" spans="1:29" ht="20.100000000000001" customHeight="1" x14ac:dyDescent="0.25">
      <c r="X86" s="157"/>
      <c r="Y86" s="157"/>
      <c r="Z86" s="157"/>
      <c r="AA86" s="157"/>
      <c r="AB86" s="156"/>
      <c r="AC86" s="155"/>
    </row>
    <row r="87" spans="1:29" ht="15" x14ac:dyDescent="0.25">
      <c r="A87" s="677"/>
      <c r="B87" s="677"/>
      <c r="C87" s="677"/>
      <c r="D87" s="677"/>
      <c r="E87" s="677"/>
      <c r="F87" s="677"/>
      <c r="G87" s="677"/>
      <c r="H87" s="677"/>
      <c r="I87" s="677"/>
      <c r="J87" s="677"/>
      <c r="K87" s="677"/>
      <c r="L87" s="678"/>
      <c r="M87" s="678"/>
      <c r="N87" s="678"/>
      <c r="O87" s="678"/>
      <c r="P87" s="678"/>
      <c r="Q87" s="678"/>
      <c r="R87" s="678"/>
      <c r="S87" s="678"/>
      <c r="T87" s="678"/>
      <c r="U87" s="678"/>
      <c r="V87" s="678"/>
      <c r="W87" s="678"/>
      <c r="X87" s="154"/>
      <c r="Y87" s="154"/>
      <c r="Z87" s="154"/>
      <c r="AA87" s="154"/>
      <c r="AB87" s="154"/>
      <c r="AC87" s="154"/>
    </row>
    <row r="91" spans="1:29" x14ac:dyDescent="0.25">
      <c r="A91" s="153"/>
      <c r="B91" s="153"/>
      <c r="C91" s="153"/>
      <c r="D91" s="153"/>
      <c r="E91" s="153"/>
      <c r="F91" s="153"/>
      <c r="G91" s="153"/>
      <c r="H91" s="153"/>
      <c r="I91" s="153"/>
      <c r="J91" s="153"/>
      <c r="K91" s="153"/>
    </row>
    <row r="92" spans="1:29" x14ac:dyDescent="0.25">
      <c r="A92" s="679"/>
      <c r="B92" s="679"/>
      <c r="C92" s="679"/>
      <c r="D92" s="679"/>
      <c r="E92" s="679"/>
      <c r="F92" s="679"/>
      <c r="G92" s="679"/>
      <c r="H92" s="679"/>
      <c r="I92" s="679"/>
      <c r="J92" s="679"/>
      <c r="K92" s="679"/>
      <c r="L92" s="679"/>
      <c r="M92" s="679"/>
      <c r="N92" s="679"/>
      <c r="O92" s="679"/>
      <c r="P92" s="679"/>
      <c r="Q92" s="679"/>
      <c r="R92" s="679"/>
      <c r="S92" s="679"/>
      <c r="T92" s="679"/>
      <c r="U92" s="679"/>
      <c r="V92" s="679"/>
      <c r="W92" s="679"/>
      <c r="X92" s="679"/>
      <c r="Y92" s="679"/>
      <c r="Z92" s="679"/>
      <c r="AA92" s="679"/>
      <c r="AB92" s="679"/>
      <c r="AC92" s="679"/>
    </row>
  </sheetData>
  <mergeCells count="96">
    <mergeCell ref="X14:AA14"/>
    <mergeCell ref="AB14:AC14"/>
    <mergeCell ref="X15:AA15"/>
    <mergeCell ref="AB15:AC15"/>
    <mergeCell ref="X16:AA16"/>
    <mergeCell ref="AB16:AC16"/>
    <mergeCell ref="AA2:AB2"/>
    <mergeCell ref="S3:W3"/>
    <mergeCell ref="X3:Z3"/>
    <mergeCell ref="AA3:AB3"/>
    <mergeCell ref="A4:E5"/>
    <mergeCell ref="F4:M5"/>
    <mergeCell ref="N4:W4"/>
    <mergeCell ref="X4:Z4"/>
    <mergeCell ref="AA4:AC4"/>
    <mergeCell ref="N5:W5"/>
    <mergeCell ref="X5:Z5"/>
    <mergeCell ref="AA5:AC5"/>
    <mergeCell ref="A2:E3"/>
    <mergeCell ref="F2:R3"/>
    <mergeCell ref="S2:W2"/>
    <mergeCell ref="X2:Z2"/>
    <mergeCell ref="AB8:AC8"/>
    <mergeCell ref="X9:AA9"/>
    <mergeCell ref="AB9:AC9"/>
    <mergeCell ref="X10:AA10"/>
    <mergeCell ref="AB10:AC10"/>
    <mergeCell ref="X8:AA8"/>
    <mergeCell ref="AB11:AC11"/>
    <mergeCell ref="X12:AA12"/>
    <mergeCell ref="AB12:AC12"/>
    <mergeCell ref="X13:AA13"/>
    <mergeCell ref="AB13:AC13"/>
    <mergeCell ref="X11:AA11"/>
    <mergeCell ref="X22:AA22"/>
    <mergeCell ref="AB22:AC22"/>
    <mergeCell ref="A35:L35"/>
    <mergeCell ref="M35:W35"/>
    <mergeCell ref="A36:L36"/>
    <mergeCell ref="M36:W36"/>
    <mergeCell ref="A37:L37"/>
    <mergeCell ref="M37:W37"/>
    <mergeCell ref="X37:AC37"/>
    <mergeCell ref="X41:AC41"/>
    <mergeCell ref="A42:L46"/>
    <mergeCell ref="M42:W46"/>
    <mergeCell ref="X42:AC42"/>
    <mergeCell ref="X43:AC47"/>
    <mergeCell ref="A47:L47"/>
    <mergeCell ref="M47:W47"/>
    <mergeCell ref="A39:L40"/>
    <mergeCell ref="X38:AC38"/>
    <mergeCell ref="X39:AC39"/>
    <mergeCell ref="X40:AC40"/>
    <mergeCell ref="Y58:AC58"/>
    <mergeCell ref="AA52:AC52"/>
    <mergeCell ref="AA53:AC54"/>
    <mergeCell ref="X55:X57"/>
    <mergeCell ref="Y55:Z57"/>
    <mergeCell ref="AA55:AC55"/>
    <mergeCell ref="AA56:AC57"/>
    <mergeCell ref="A49:W49"/>
    <mergeCell ref="X49:Z49"/>
    <mergeCell ref="AA49:AC49"/>
    <mergeCell ref="A50:W50"/>
    <mergeCell ref="AA50:AC51"/>
    <mergeCell ref="X70:AA70"/>
    <mergeCell ref="Y59:AC59"/>
    <mergeCell ref="X60:AA60"/>
    <mergeCell ref="X61:AA61"/>
    <mergeCell ref="X62:AA62"/>
    <mergeCell ref="X63:AA63"/>
    <mergeCell ref="X64:AA64"/>
    <mergeCell ref="X65:X66"/>
    <mergeCell ref="Y65:AC66"/>
    <mergeCell ref="Y67:AC67"/>
    <mergeCell ref="Y68:AC68"/>
    <mergeCell ref="X69:AA69"/>
    <mergeCell ref="X82:AA82"/>
    <mergeCell ref="X71:AA71"/>
    <mergeCell ref="X72:AA72"/>
    <mergeCell ref="X73:AA73"/>
    <mergeCell ref="X74:X75"/>
    <mergeCell ref="Y74:AC75"/>
    <mergeCell ref="Y76:AC76"/>
    <mergeCell ref="Y77:AC77"/>
    <mergeCell ref="X78:AA78"/>
    <mergeCell ref="X79:AA79"/>
    <mergeCell ref="X80:AA80"/>
    <mergeCell ref="X81:AA81"/>
    <mergeCell ref="X83:AC83"/>
    <mergeCell ref="A87:K87"/>
    <mergeCell ref="L87:W87"/>
    <mergeCell ref="A92:K92"/>
    <mergeCell ref="L92:W92"/>
    <mergeCell ref="X92:AC92"/>
  </mergeCells>
  <phoneticPr fontId="21" type="noConversion"/>
  <printOptions horizontalCentered="1" verticalCentered="1"/>
  <pageMargins left="0.18" right="0.11811023622047245" top="0.15748031496062992" bottom="0.15748031496062992" header="0.11811023622047245" footer="7.874015748031496E-2"/>
  <pageSetup paperSize="9" scale="60" orientation="landscape" r:id="rId1"/>
  <headerFooter alignWithMargins="0">
    <oddFooter>&amp;R&amp;9Página 1 de 1</oddFooter>
  </headerFooter>
  <rowBreaks count="1" manualBreakCount="1">
    <brk id="47" max="16383" man="1"/>
  </rowBreaks>
  <drawing r:id="rId2"/>
  <legacyDrawing r:id="rId3"/>
  <oleObjects>
    <mc:AlternateContent xmlns:mc="http://schemas.openxmlformats.org/markup-compatibility/2006">
      <mc:Choice Requires="x14">
        <oleObject progId="CorelDRAW.Graphic.13" shapeId="32769" r:id="rId4">
          <objectPr defaultSize="0" autoPict="0" r:id="rId5">
            <anchor moveWithCells="1" sizeWithCells="1">
              <from>
                <xdr:col>0</xdr:col>
                <xdr:colOff>259080</xdr:colOff>
                <xdr:row>0</xdr:row>
                <xdr:rowOff>45720</xdr:rowOff>
              </from>
              <to>
                <xdr:col>2</xdr:col>
                <xdr:colOff>121920</xdr:colOff>
                <xdr:row>0</xdr:row>
                <xdr:rowOff>541020</xdr:rowOff>
              </to>
            </anchor>
          </objectPr>
        </oleObject>
      </mc:Choice>
      <mc:Fallback>
        <oleObject progId="CorelDRAW.Graphic.13" shapeId="3276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AP126"/>
  <sheetViews>
    <sheetView showGridLines="0" topLeftCell="K1" zoomScale="55" zoomScaleNormal="55" zoomScaleSheetLayoutView="52" workbookViewId="0">
      <pane ySplit="8" topLeftCell="A12" activePane="bottomLeft" state="frozen"/>
      <selection activeCell="G67" sqref="G67"/>
      <selection pane="bottomLeft" activeCell="AD114" sqref="AD114"/>
    </sheetView>
  </sheetViews>
  <sheetFormatPr defaultColWidth="11.44140625" defaultRowHeight="13.8" x14ac:dyDescent="0.3"/>
  <cols>
    <col min="1" max="1" width="0" style="441" hidden="1" customWidth="1"/>
    <col min="2" max="3" width="11.44140625" style="441"/>
    <col min="4" max="4" width="7.44140625" style="433" customWidth="1"/>
    <col min="5" max="5" width="22.44140625" style="433" customWidth="1"/>
    <col min="6" max="7" width="22.44140625" style="433" hidden="1" customWidth="1"/>
    <col min="8" max="8" width="52.6640625" style="433" customWidth="1"/>
    <col min="9" max="9" width="34.21875" style="433" customWidth="1"/>
    <col min="10" max="10" width="28.21875" style="433" customWidth="1"/>
    <col min="11" max="13" width="13.109375" style="433" customWidth="1"/>
    <col min="14" max="14" width="48.21875" style="433" customWidth="1"/>
    <col min="15" max="17" width="13.109375" style="433" customWidth="1"/>
    <col min="18" max="18" width="13.77734375" style="433" customWidth="1"/>
    <col min="19" max="23" width="11.21875" style="433" hidden="1" customWidth="1"/>
    <col min="24" max="24" width="27.33203125" style="433" customWidth="1"/>
    <col min="25" max="25" width="12.77734375" style="433" hidden="1" customWidth="1"/>
    <col min="26" max="26" width="14.44140625" style="433" hidden="1" customWidth="1"/>
    <col min="27" max="27" width="14.33203125" style="433" customWidth="1"/>
    <col min="28" max="28" width="11.109375" style="433" customWidth="1"/>
    <col min="29" max="29" width="18.88671875" style="433" customWidth="1"/>
    <col min="30" max="30" width="22.6640625" style="433" customWidth="1"/>
    <col min="31" max="31" width="17.33203125" style="433" bestFit="1" customWidth="1"/>
    <col min="32" max="33" width="25" style="433" bestFit="1" customWidth="1"/>
    <col min="34" max="34" width="23.44140625" style="433" bestFit="1" customWidth="1"/>
    <col min="35" max="35" width="5.44140625" style="441" customWidth="1"/>
    <col min="36" max="267" width="11.44140625" style="441"/>
    <col min="268" max="268" width="6" style="441" customWidth="1"/>
    <col min="269" max="269" width="15.6640625" style="441" customWidth="1"/>
    <col min="270" max="271" width="13.109375" style="441" customWidth="1"/>
    <col min="272" max="272" width="6.44140625" style="441" customWidth="1"/>
    <col min="273" max="273" width="6.6640625" style="441" customWidth="1"/>
    <col min="274" max="274" width="5" style="441" customWidth="1"/>
    <col min="275" max="275" width="5.6640625" style="441" customWidth="1"/>
    <col min="276" max="276" width="5.109375" style="441" customWidth="1"/>
    <col min="277" max="277" width="4.6640625" style="441" customWidth="1"/>
    <col min="278" max="278" width="8.109375" style="441" customWidth="1"/>
    <col min="279" max="279" width="10.88671875" style="441" customWidth="1"/>
    <col min="280" max="280" width="6.44140625" style="441" customWidth="1"/>
    <col min="281" max="281" width="7.44140625" style="441" customWidth="1"/>
    <col min="282" max="282" width="5.88671875" style="441" customWidth="1"/>
    <col min="283" max="283" width="6.44140625" style="441" customWidth="1"/>
    <col min="284" max="284" width="5.88671875" style="441" customWidth="1"/>
    <col min="285" max="285" width="5.109375" style="441" customWidth="1"/>
    <col min="286" max="286" width="12.88671875" style="441" customWidth="1"/>
    <col min="287" max="287" width="15" style="441" customWidth="1"/>
    <col min="288" max="288" width="20.6640625" style="441" customWidth="1"/>
    <col min="289" max="289" width="23.6640625" style="441" customWidth="1"/>
    <col min="290" max="290" width="5.44140625" style="441" customWidth="1"/>
    <col min="291" max="523" width="11.44140625" style="441"/>
    <col min="524" max="524" width="6" style="441" customWidth="1"/>
    <col min="525" max="525" width="15.6640625" style="441" customWidth="1"/>
    <col min="526" max="527" width="13.109375" style="441" customWidth="1"/>
    <col min="528" max="528" width="6.44140625" style="441" customWidth="1"/>
    <col min="529" max="529" width="6.6640625" style="441" customWidth="1"/>
    <col min="530" max="530" width="5" style="441" customWidth="1"/>
    <col min="531" max="531" width="5.6640625" style="441" customWidth="1"/>
    <col min="532" max="532" width="5.109375" style="441" customWidth="1"/>
    <col min="533" max="533" width="4.6640625" style="441" customWidth="1"/>
    <col min="534" max="534" width="8.109375" style="441" customWidth="1"/>
    <col min="535" max="535" width="10.88671875" style="441" customWidth="1"/>
    <col min="536" max="536" width="6.44140625" style="441" customWidth="1"/>
    <col min="537" max="537" width="7.44140625" style="441" customWidth="1"/>
    <col min="538" max="538" width="5.88671875" style="441" customWidth="1"/>
    <col min="539" max="539" width="6.44140625" style="441" customWidth="1"/>
    <col min="540" max="540" width="5.88671875" style="441" customWidth="1"/>
    <col min="541" max="541" width="5.109375" style="441" customWidth="1"/>
    <col min="542" max="542" width="12.88671875" style="441" customWidth="1"/>
    <col min="543" max="543" width="15" style="441" customWidth="1"/>
    <col min="544" max="544" width="20.6640625" style="441" customWidth="1"/>
    <col min="545" max="545" width="23.6640625" style="441" customWidth="1"/>
    <col min="546" max="546" width="5.44140625" style="441" customWidth="1"/>
    <col min="547" max="779" width="11.44140625" style="441"/>
    <col min="780" max="780" width="6" style="441" customWidth="1"/>
    <col min="781" max="781" width="15.6640625" style="441" customWidth="1"/>
    <col min="782" max="783" width="13.109375" style="441" customWidth="1"/>
    <col min="784" max="784" width="6.44140625" style="441" customWidth="1"/>
    <col min="785" max="785" width="6.6640625" style="441" customWidth="1"/>
    <col min="786" max="786" width="5" style="441" customWidth="1"/>
    <col min="787" max="787" width="5.6640625" style="441" customWidth="1"/>
    <col min="788" max="788" width="5.109375" style="441" customWidth="1"/>
    <col min="789" max="789" width="4.6640625" style="441" customWidth="1"/>
    <col min="790" max="790" width="8.109375" style="441" customWidth="1"/>
    <col min="791" max="791" width="10.88671875" style="441" customWidth="1"/>
    <col min="792" max="792" width="6.44140625" style="441" customWidth="1"/>
    <col min="793" max="793" width="7.44140625" style="441" customWidth="1"/>
    <col min="794" max="794" width="5.88671875" style="441" customWidth="1"/>
    <col min="795" max="795" width="6.44140625" style="441" customWidth="1"/>
    <col min="796" max="796" width="5.88671875" style="441" customWidth="1"/>
    <col min="797" max="797" width="5.109375" style="441" customWidth="1"/>
    <col min="798" max="798" width="12.88671875" style="441" customWidth="1"/>
    <col min="799" max="799" width="15" style="441" customWidth="1"/>
    <col min="800" max="800" width="20.6640625" style="441" customWidth="1"/>
    <col min="801" max="801" width="23.6640625" style="441" customWidth="1"/>
    <col min="802" max="802" width="5.44140625" style="441" customWidth="1"/>
    <col min="803" max="1035" width="11.44140625" style="441"/>
    <col min="1036" max="1036" width="6" style="441" customWidth="1"/>
    <col min="1037" max="1037" width="15.6640625" style="441" customWidth="1"/>
    <col min="1038" max="1039" width="13.109375" style="441" customWidth="1"/>
    <col min="1040" max="1040" width="6.44140625" style="441" customWidth="1"/>
    <col min="1041" max="1041" width="6.6640625" style="441" customWidth="1"/>
    <col min="1042" max="1042" width="5" style="441" customWidth="1"/>
    <col min="1043" max="1043" width="5.6640625" style="441" customWidth="1"/>
    <col min="1044" max="1044" width="5.109375" style="441" customWidth="1"/>
    <col min="1045" max="1045" width="4.6640625" style="441" customWidth="1"/>
    <col min="1046" max="1046" width="8.109375" style="441" customWidth="1"/>
    <col min="1047" max="1047" width="10.88671875" style="441" customWidth="1"/>
    <col min="1048" max="1048" width="6.44140625" style="441" customWidth="1"/>
    <col min="1049" max="1049" width="7.44140625" style="441" customWidth="1"/>
    <col min="1050" max="1050" width="5.88671875" style="441" customWidth="1"/>
    <col min="1051" max="1051" width="6.44140625" style="441" customWidth="1"/>
    <col min="1052" max="1052" width="5.88671875" style="441" customWidth="1"/>
    <col min="1053" max="1053" width="5.109375" style="441" customWidth="1"/>
    <col min="1054" max="1054" width="12.88671875" style="441" customWidth="1"/>
    <col min="1055" max="1055" width="15" style="441" customWidth="1"/>
    <col min="1056" max="1056" width="20.6640625" style="441" customWidth="1"/>
    <col min="1057" max="1057" width="23.6640625" style="441" customWidth="1"/>
    <col min="1058" max="1058" width="5.44140625" style="441" customWidth="1"/>
    <col min="1059" max="1291" width="11.44140625" style="441"/>
    <col min="1292" max="1292" width="6" style="441" customWidth="1"/>
    <col min="1293" max="1293" width="15.6640625" style="441" customWidth="1"/>
    <col min="1294" max="1295" width="13.109375" style="441" customWidth="1"/>
    <col min="1296" max="1296" width="6.44140625" style="441" customWidth="1"/>
    <col min="1297" max="1297" width="6.6640625" style="441" customWidth="1"/>
    <col min="1298" max="1298" width="5" style="441" customWidth="1"/>
    <col min="1299" max="1299" width="5.6640625" style="441" customWidth="1"/>
    <col min="1300" max="1300" width="5.109375" style="441" customWidth="1"/>
    <col min="1301" max="1301" width="4.6640625" style="441" customWidth="1"/>
    <col min="1302" max="1302" width="8.109375" style="441" customWidth="1"/>
    <col min="1303" max="1303" width="10.88671875" style="441" customWidth="1"/>
    <col min="1304" max="1304" width="6.44140625" style="441" customWidth="1"/>
    <col min="1305" max="1305" width="7.44140625" style="441" customWidth="1"/>
    <col min="1306" max="1306" width="5.88671875" style="441" customWidth="1"/>
    <col min="1307" max="1307" width="6.44140625" style="441" customWidth="1"/>
    <col min="1308" max="1308" width="5.88671875" style="441" customWidth="1"/>
    <col min="1309" max="1309" width="5.109375" style="441" customWidth="1"/>
    <col min="1310" max="1310" width="12.88671875" style="441" customWidth="1"/>
    <col min="1311" max="1311" width="15" style="441" customWidth="1"/>
    <col min="1312" max="1312" width="20.6640625" style="441" customWidth="1"/>
    <col min="1313" max="1313" width="23.6640625" style="441" customWidth="1"/>
    <col min="1314" max="1314" width="5.44140625" style="441" customWidth="1"/>
    <col min="1315" max="1547" width="11.44140625" style="441"/>
    <col min="1548" max="1548" width="6" style="441" customWidth="1"/>
    <col min="1549" max="1549" width="15.6640625" style="441" customWidth="1"/>
    <col min="1550" max="1551" width="13.109375" style="441" customWidth="1"/>
    <col min="1552" max="1552" width="6.44140625" style="441" customWidth="1"/>
    <col min="1553" max="1553" width="6.6640625" style="441" customWidth="1"/>
    <col min="1554" max="1554" width="5" style="441" customWidth="1"/>
    <col min="1555" max="1555" width="5.6640625" style="441" customWidth="1"/>
    <col min="1556" max="1556" width="5.109375" style="441" customWidth="1"/>
    <col min="1557" max="1557" width="4.6640625" style="441" customWidth="1"/>
    <col min="1558" max="1558" width="8.109375" style="441" customWidth="1"/>
    <col min="1559" max="1559" width="10.88671875" style="441" customWidth="1"/>
    <col min="1560" max="1560" width="6.44140625" style="441" customWidth="1"/>
    <col min="1561" max="1561" width="7.44140625" style="441" customWidth="1"/>
    <col min="1562" max="1562" width="5.88671875" style="441" customWidth="1"/>
    <col min="1563" max="1563" width="6.44140625" style="441" customWidth="1"/>
    <col min="1564" max="1564" width="5.88671875" style="441" customWidth="1"/>
    <col min="1565" max="1565" width="5.109375" style="441" customWidth="1"/>
    <col min="1566" max="1566" width="12.88671875" style="441" customWidth="1"/>
    <col min="1567" max="1567" width="15" style="441" customWidth="1"/>
    <col min="1568" max="1568" width="20.6640625" style="441" customWidth="1"/>
    <col min="1569" max="1569" width="23.6640625" style="441" customWidth="1"/>
    <col min="1570" max="1570" width="5.44140625" style="441" customWidth="1"/>
    <col min="1571" max="1803" width="11.44140625" style="441"/>
    <col min="1804" max="1804" width="6" style="441" customWidth="1"/>
    <col min="1805" max="1805" width="15.6640625" style="441" customWidth="1"/>
    <col min="1806" max="1807" width="13.109375" style="441" customWidth="1"/>
    <col min="1808" max="1808" width="6.44140625" style="441" customWidth="1"/>
    <col min="1809" max="1809" width="6.6640625" style="441" customWidth="1"/>
    <col min="1810" max="1810" width="5" style="441" customWidth="1"/>
    <col min="1811" max="1811" width="5.6640625" style="441" customWidth="1"/>
    <col min="1812" max="1812" width="5.109375" style="441" customWidth="1"/>
    <col min="1813" max="1813" width="4.6640625" style="441" customWidth="1"/>
    <col min="1814" max="1814" width="8.109375" style="441" customWidth="1"/>
    <col min="1815" max="1815" width="10.88671875" style="441" customWidth="1"/>
    <col min="1816" max="1816" width="6.44140625" style="441" customWidth="1"/>
    <col min="1817" max="1817" width="7.44140625" style="441" customWidth="1"/>
    <col min="1818" max="1818" width="5.88671875" style="441" customWidth="1"/>
    <col min="1819" max="1819" width="6.44140625" style="441" customWidth="1"/>
    <col min="1820" max="1820" width="5.88671875" style="441" customWidth="1"/>
    <col min="1821" max="1821" width="5.109375" style="441" customWidth="1"/>
    <col min="1822" max="1822" width="12.88671875" style="441" customWidth="1"/>
    <col min="1823" max="1823" width="15" style="441" customWidth="1"/>
    <col min="1824" max="1824" width="20.6640625" style="441" customWidth="1"/>
    <col min="1825" max="1825" width="23.6640625" style="441" customWidth="1"/>
    <col min="1826" max="1826" width="5.44140625" style="441" customWidth="1"/>
    <col min="1827" max="2059" width="11.44140625" style="441"/>
    <col min="2060" max="2060" width="6" style="441" customWidth="1"/>
    <col min="2061" max="2061" width="15.6640625" style="441" customWidth="1"/>
    <col min="2062" max="2063" width="13.109375" style="441" customWidth="1"/>
    <col min="2064" max="2064" width="6.44140625" style="441" customWidth="1"/>
    <col min="2065" max="2065" width="6.6640625" style="441" customWidth="1"/>
    <col min="2066" max="2066" width="5" style="441" customWidth="1"/>
    <col min="2067" max="2067" width="5.6640625" style="441" customWidth="1"/>
    <col min="2068" max="2068" width="5.109375" style="441" customWidth="1"/>
    <col min="2069" max="2069" width="4.6640625" style="441" customWidth="1"/>
    <col min="2070" max="2070" width="8.109375" style="441" customWidth="1"/>
    <col min="2071" max="2071" width="10.88671875" style="441" customWidth="1"/>
    <col min="2072" max="2072" width="6.44140625" style="441" customWidth="1"/>
    <col min="2073" max="2073" width="7.44140625" style="441" customWidth="1"/>
    <col min="2074" max="2074" width="5.88671875" style="441" customWidth="1"/>
    <col min="2075" max="2075" width="6.44140625" style="441" customWidth="1"/>
    <col min="2076" max="2076" width="5.88671875" style="441" customWidth="1"/>
    <col min="2077" max="2077" width="5.109375" style="441" customWidth="1"/>
    <col min="2078" max="2078" width="12.88671875" style="441" customWidth="1"/>
    <col min="2079" max="2079" width="15" style="441" customWidth="1"/>
    <col min="2080" max="2080" width="20.6640625" style="441" customWidth="1"/>
    <col min="2081" max="2081" width="23.6640625" style="441" customWidth="1"/>
    <col min="2082" max="2082" width="5.44140625" style="441" customWidth="1"/>
    <col min="2083" max="2315" width="11.44140625" style="441"/>
    <col min="2316" max="2316" width="6" style="441" customWidth="1"/>
    <col min="2317" max="2317" width="15.6640625" style="441" customWidth="1"/>
    <col min="2318" max="2319" width="13.109375" style="441" customWidth="1"/>
    <col min="2320" max="2320" width="6.44140625" style="441" customWidth="1"/>
    <col min="2321" max="2321" width="6.6640625" style="441" customWidth="1"/>
    <col min="2322" max="2322" width="5" style="441" customWidth="1"/>
    <col min="2323" max="2323" width="5.6640625" style="441" customWidth="1"/>
    <col min="2324" max="2324" width="5.109375" style="441" customWidth="1"/>
    <col min="2325" max="2325" width="4.6640625" style="441" customWidth="1"/>
    <col min="2326" max="2326" width="8.109375" style="441" customWidth="1"/>
    <col min="2327" max="2327" width="10.88671875" style="441" customWidth="1"/>
    <col min="2328" max="2328" width="6.44140625" style="441" customWidth="1"/>
    <col min="2329" max="2329" width="7.44140625" style="441" customWidth="1"/>
    <col min="2330" max="2330" width="5.88671875" style="441" customWidth="1"/>
    <col min="2331" max="2331" width="6.44140625" style="441" customWidth="1"/>
    <col min="2332" max="2332" width="5.88671875" style="441" customWidth="1"/>
    <col min="2333" max="2333" width="5.109375" style="441" customWidth="1"/>
    <col min="2334" max="2334" width="12.88671875" style="441" customWidth="1"/>
    <col min="2335" max="2335" width="15" style="441" customWidth="1"/>
    <col min="2336" max="2336" width="20.6640625" style="441" customWidth="1"/>
    <col min="2337" max="2337" width="23.6640625" style="441" customWidth="1"/>
    <col min="2338" max="2338" width="5.44140625" style="441" customWidth="1"/>
    <col min="2339" max="2571" width="11.44140625" style="441"/>
    <col min="2572" max="2572" width="6" style="441" customWidth="1"/>
    <col min="2573" max="2573" width="15.6640625" style="441" customWidth="1"/>
    <col min="2574" max="2575" width="13.109375" style="441" customWidth="1"/>
    <col min="2576" max="2576" width="6.44140625" style="441" customWidth="1"/>
    <col min="2577" max="2577" width="6.6640625" style="441" customWidth="1"/>
    <col min="2578" max="2578" width="5" style="441" customWidth="1"/>
    <col min="2579" max="2579" width="5.6640625" style="441" customWidth="1"/>
    <col min="2580" max="2580" width="5.109375" style="441" customWidth="1"/>
    <col min="2581" max="2581" width="4.6640625" style="441" customWidth="1"/>
    <col min="2582" max="2582" width="8.109375" style="441" customWidth="1"/>
    <col min="2583" max="2583" width="10.88671875" style="441" customWidth="1"/>
    <col min="2584" max="2584" width="6.44140625" style="441" customWidth="1"/>
    <col min="2585" max="2585" width="7.44140625" style="441" customWidth="1"/>
    <col min="2586" max="2586" width="5.88671875" style="441" customWidth="1"/>
    <col min="2587" max="2587" width="6.44140625" style="441" customWidth="1"/>
    <col min="2588" max="2588" width="5.88671875" style="441" customWidth="1"/>
    <col min="2589" max="2589" width="5.109375" style="441" customWidth="1"/>
    <col min="2590" max="2590" width="12.88671875" style="441" customWidth="1"/>
    <col min="2591" max="2591" width="15" style="441" customWidth="1"/>
    <col min="2592" max="2592" width="20.6640625" style="441" customWidth="1"/>
    <col min="2593" max="2593" width="23.6640625" style="441" customWidth="1"/>
    <col min="2594" max="2594" width="5.44140625" style="441" customWidth="1"/>
    <col min="2595" max="2827" width="11.44140625" style="441"/>
    <col min="2828" max="2828" width="6" style="441" customWidth="1"/>
    <col min="2829" max="2829" width="15.6640625" style="441" customWidth="1"/>
    <col min="2830" max="2831" width="13.109375" style="441" customWidth="1"/>
    <col min="2832" max="2832" width="6.44140625" style="441" customWidth="1"/>
    <col min="2833" max="2833" width="6.6640625" style="441" customWidth="1"/>
    <col min="2834" max="2834" width="5" style="441" customWidth="1"/>
    <col min="2835" max="2835" width="5.6640625" style="441" customWidth="1"/>
    <col min="2836" max="2836" width="5.109375" style="441" customWidth="1"/>
    <col min="2837" max="2837" width="4.6640625" style="441" customWidth="1"/>
    <col min="2838" max="2838" width="8.109375" style="441" customWidth="1"/>
    <col min="2839" max="2839" width="10.88671875" style="441" customWidth="1"/>
    <col min="2840" max="2840" width="6.44140625" style="441" customWidth="1"/>
    <col min="2841" max="2841" width="7.44140625" style="441" customWidth="1"/>
    <col min="2842" max="2842" width="5.88671875" style="441" customWidth="1"/>
    <col min="2843" max="2843" width="6.44140625" style="441" customWidth="1"/>
    <col min="2844" max="2844" width="5.88671875" style="441" customWidth="1"/>
    <col min="2845" max="2845" width="5.109375" style="441" customWidth="1"/>
    <col min="2846" max="2846" width="12.88671875" style="441" customWidth="1"/>
    <col min="2847" max="2847" width="15" style="441" customWidth="1"/>
    <col min="2848" max="2848" width="20.6640625" style="441" customWidth="1"/>
    <col min="2849" max="2849" width="23.6640625" style="441" customWidth="1"/>
    <col min="2850" max="2850" width="5.44140625" style="441" customWidth="1"/>
    <col min="2851" max="3083" width="11.44140625" style="441"/>
    <col min="3084" max="3084" width="6" style="441" customWidth="1"/>
    <col min="3085" max="3085" width="15.6640625" style="441" customWidth="1"/>
    <col min="3086" max="3087" width="13.109375" style="441" customWidth="1"/>
    <col min="3088" max="3088" width="6.44140625" style="441" customWidth="1"/>
    <col min="3089" max="3089" width="6.6640625" style="441" customWidth="1"/>
    <col min="3090" max="3090" width="5" style="441" customWidth="1"/>
    <col min="3091" max="3091" width="5.6640625" style="441" customWidth="1"/>
    <col min="3092" max="3092" width="5.109375" style="441" customWidth="1"/>
    <col min="3093" max="3093" width="4.6640625" style="441" customWidth="1"/>
    <col min="3094" max="3094" width="8.109375" style="441" customWidth="1"/>
    <col min="3095" max="3095" width="10.88671875" style="441" customWidth="1"/>
    <col min="3096" max="3096" width="6.44140625" style="441" customWidth="1"/>
    <col min="3097" max="3097" width="7.44140625" style="441" customWidth="1"/>
    <col min="3098" max="3098" width="5.88671875" style="441" customWidth="1"/>
    <col min="3099" max="3099" width="6.44140625" style="441" customWidth="1"/>
    <col min="3100" max="3100" width="5.88671875" style="441" customWidth="1"/>
    <col min="3101" max="3101" width="5.109375" style="441" customWidth="1"/>
    <col min="3102" max="3102" width="12.88671875" style="441" customWidth="1"/>
    <col min="3103" max="3103" width="15" style="441" customWidth="1"/>
    <col min="3104" max="3104" width="20.6640625" style="441" customWidth="1"/>
    <col min="3105" max="3105" width="23.6640625" style="441" customWidth="1"/>
    <col min="3106" max="3106" width="5.44140625" style="441" customWidth="1"/>
    <col min="3107" max="3339" width="11.44140625" style="441"/>
    <col min="3340" max="3340" width="6" style="441" customWidth="1"/>
    <col min="3341" max="3341" width="15.6640625" style="441" customWidth="1"/>
    <col min="3342" max="3343" width="13.109375" style="441" customWidth="1"/>
    <col min="3344" max="3344" width="6.44140625" style="441" customWidth="1"/>
    <col min="3345" max="3345" width="6.6640625" style="441" customWidth="1"/>
    <col min="3346" max="3346" width="5" style="441" customWidth="1"/>
    <col min="3347" max="3347" width="5.6640625" style="441" customWidth="1"/>
    <col min="3348" max="3348" width="5.109375" style="441" customWidth="1"/>
    <col min="3349" max="3349" width="4.6640625" style="441" customWidth="1"/>
    <col min="3350" max="3350" width="8.109375" style="441" customWidth="1"/>
    <col min="3351" max="3351" width="10.88671875" style="441" customWidth="1"/>
    <col min="3352" max="3352" width="6.44140625" style="441" customWidth="1"/>
    <col min="3353" max="3353" width="7.44140625" style="441" customWidth="1"/>
    <col min="3354" max="3354" width="5.88671875" style="441" customWidth="1"/>
    <col min="3355" max="3355" width="6.44140625" style="441" customWidth="1"/>
    <col min="3356" max="3356" width="5.88671875" style="441" customWidth="1"/>
    <col min="3357" max="3357" width="5.109375" style="441" customWidth="1"/>
    <col min="3358" max="3358" width="12.88671875" style="441" customWidth="1"/>
    <col min="3359" max="3359" width="15" style="441" customWidth="1"/>
    <col min="3360" max="3360" width="20.6640625" style="441" customWidth="1"/>
    <col min="3361" max="3361" width="23.6640625" style="441" customWidth="1"/>
    <col min="3362" max="3362" width="5.44140625" style="441" customWidth="1"/>
    <col min="3363" max="3595" width="11.44140625" style="441"/>
    <col min="3596" max="3596" width="6" style="441" customWidth="1"/>
    <col min="3597" max="3597" width="15.6640625" style="441" customWidth="1"/>
    <col min="3598" max="3599" width="13.109375" style="441" customWidth="1"/>
    <col min="3600" max="3600" width="6.44140625" style="441" customWidth="1"/>
    <col min="3601" max="3601" width="6.6640625" style="441" customWidth="1"/>
    <col min="3602" max="3602" width="5" style="441" customWidth="1"/>
    <col min="3603" max="3603" width="5.6640625" style="441" customWidth="1"/>
    <col min="3604" max="3604" width="5.109375" style="441" customWidth="1"/>
    <col min="3605" max="3605" width="4.6640625" style="441" customWidth="1"/>
    <col min="3606" max="3606" width="8.109375" style="441" customWidth="1"/>
    <col min="3607" max="3607" width="10.88671875" style="441" customWidth="1"/>
    <col min="3608" max="3608" width="6.44140625" style="441" customWidth="1"/>
    <col min="3609" max="3609" width="7.44140625" style="441" customWidth="1"/>
    <col min="3610" max="3610" width="5.88671875" style="441" customWidth="1"/>
    <col min="3611" max="3611" width="6.44140625" style="441" customWidth="1"/>
    <col min="3612" max="3612" width="5.88671875" style="441" customWidth="1"/>
    <col min="3613" max="3613" width="5.109375" style="441" customWidth="1"/>
    <col min="3614" max="3614" width="12.88671875" style="441" customWidth="1"/>
    <col min="3615" max="3615" width="15" style="441" customWidth="1"/>
    <col min="3616" max="3616" width="20.6640625" style="441" customWidth="1"/>
    <col min="3617" max="3617" width="23.6640625" style="441" customWidth="1"/>
    <col min="3618" max="3618" width="5.44140625" style="441" customWidth="1"/>
    <col min="3619" max="3851" width="11.44140625" style="441"/>
    <col min="3852" max="3852" width="6" style="441" customWidth="1"/>
    <col min="3853" max="3853" width="15.6640625" style="441" customWidth="1"/>
    <col min="3854" max="3855" width="13.109375" style="441" customWidth="1"/>
    <col min="3856" max="3856" width="6.44140625" style="441" customWidth="1"/>
    <col min="3857" max="3857" width="6.6640625" style="441" customWidth="1"/>
    <col min="3858" max="3858" width="5" style="441" customWidth="1"/>
    <col min="3859" max="3859" width="5.6640625" style="441" customWidth="1"/>
    <col min="3860" max="3860" width="5.109375" style="441" customWidth="1"/>
    <col min="3861" max="3861" width="4.6640625" style="441" customWidth="1"/>
    <col min="3862" max="3862" width="8.109375" style="441" customWidth="1"/>
    <col min="3863" max="3863" width="10.88671875" style="441" customWidth="1"/>
    <col min="3864" max="3864" width="6.44140625" style="441" customWidth="1"/>
    <col min="3865" max="3865" width="7.44140625" style="441" customWidth="1"/>
    <col min="3866" max="3866" width="5.88671875" style="441" customWidth="1"/>
    <col min="3867" max="3867" width="6.44140625" style="441" customWidth="1"/>
    <col min="3868" max="3868" width="5.88671875" style="441" customWidth="1"/>
    <col min="3869" max="3869" width="5.109375" style="441" customWidth="1"/>
    <col min="3870" max="3870" width="12.88671875" style="441" customWidth="1"/>
    <col min="3871" max="3871" width="15" style="441" customWidth="1"/>
    <col min="3872" max="3872" width="20.6640625" style="441" customWidth="1"/>
    <col min="3873" max="3873" width="23.6640625" style="441" customWidth="1"/>
    <col min="3874" max="3874" width="5.44140625" style="441" customWidth="1"/>
    <col min="3875" max="4107" width="11.44140625" style="441"/>
    <col min="4108" max="4108" width="6" style="441" customWidth="1"/>
    <col min="4109" max="4109" width="15.6640625" style="441" customWidth="1"/>
    <col min="4110" max="4111" width="13.109375" style="441" customWidth="1"/>
    <col min="4112" max="4112" width="6.44140625" style="441" customWidth="1"/>
    <col min="4113" max="4113" width="6.6640625" style="441" customWidth="1"/>
    <col min="4114" max="4114" width="5" style="441" customWidth="1"/>
    <col min="4115" max="4115" width="5.6640625" style="441" customWidth="1"/>
    <col min="4116" max="4116" width="5.109375" style="441" customWidth="1"/>
    <col min="4117" max="4117" width="4.6640625" style="441" customWidth="1"/>
    <col min="4118" max="4118" width="8.109375" style="441" customWidth="1"/>
    <col min="4119" max="4119" width="10.88671875" style="441" customWidth="1"/>
    <col min="4120" max="4120" width="6.44140625" style="441" customWidth="1"/>
    <col min="4121" max="4121" width="7.44140625" style="441" customWidth="1"/>
    <col min="4122" max="4122" width="5.88671875" style="441" customWidth="1"/>
    <col min="4123" max="4123" width="6.44140625" style="441" customWidth="1"/>
    <col min="4124" max="4124" width="5.88671875" style="441" customWidth="1"/>
    <col min="4125" max="4125" width="5.109375" style="441" customWidth="1"/>
    <col min="4126" max="4126" width="12.88671875" style="441" customWidth="1"/>
    <col min="4127" max="4127" width="15" style="441" customWidth="1"/>
    <col min="4128" max="4128" width="20.6640625" style="441" customWidth="1"/>
    <col min="4129" max="4129" width="23.6640625" style="441" customWidth="1"/>
    <col min="4130" max="4130" width="5.44140625" style="441" customWidth="1"/>
    <col min="4131" max="4363" width="11.44140625" style="441"/>
    <col min="4364" max="4364" width="6" style="441" customWidth="1"/>
    <col min="4365" max="4365" width="15.6640625" style="441" customWidth="1"/>
    <col min="4366" max="4367" width="13.109375" style="441" customWidth="1"/>
    <col min="4368" max="4368" width="6.44140625" style="441" customWidth="1"/>
    <col min="4369" max="4369" width="6.6640625" style="441" customWidth="1"/>
    <col min="4370" max="4370" width="5" style="441" customWidth="1"/>
    <col min="4371" max="4371" width="5.6640625" style="441" customWidth="1"/>
    <col min="4372" max="4372" width="5.109375" style="441" customWidth="1"/>
    <col min="4373" max="4373" width="4.6640625" style="441" customWidth="1"/>
    <col min="4374" max="4374" width="8.109375" style="441" customWidth="1"/>
    <col min="4375" max="4375" width="10.88671875" style="441" customWidth="1"/>
    <col min="4376" max="4376" width="6.44140625" style="441" customWidth="1"/>
    <col min="4377" max="4377" width="7.44140625" style="441" customWidth="1"/>
    <col min="4378" max="4378" width="5.88671875" style="441" customWidth="1"/>
    <col min="4379" max="4379" width="6.44140625" style="441" customWidth="1"/>
    <col min="4380" max="4380" width="5.88671875" style="441" customWidth="1"/>
    <col min="4381" max="4381" width="5.109375" style="441" customWidth="1"/>
    <col min="4382" max="4382" width="12.88671875" style="441" customWidth="1"/>
    <col min="4383" max="4383" width="15" style="441" customWidth="1"/>
    <col min="4384" max="4384" width="20.6640625" style="441" customWidth="1"/>
    <col min="4385" max="4385" width="23.6640625" style="441" customWidth="1"/>
    <col min="4386" max="4386" width="5.44140625" style="441" customWidth="1"/>
    <col min="4387" max="4619" width="11.44140625" style="441"/>
    <col min="4620" max="4620" width="6" style="441" customWidth="1"/>
    <col min="4621" max="4621" width="15.6640625" style="441" customWidth="1"/>
    <col min="4622" max="4623" width="13.109375" style="441" customWidth="1"/>
    <col min="4624" max="4624" width="6.44140625" style="441" customWidth="1"/>
    <col min="4625" max="4625" width="6.6640625" style="441" customWidth="1"/>
    <col min="4626" max="4626" width="5" style="441" customWidth="1"/>
    <col min="4627" max="4627" width="5.6640625" style="441" customWidth="1"/>
    <col min="4628" max="4628" width="5.109375" style="441" customWidth="1"/>
    <col min="4629" max="4629" width="4.6640625" style="441" customWidth="1"/>
    <col min="4630" max="4630" width="8.109375" style="441" customWidth="1"/>
    <col min="4631" max="4631" width="10.88671875" style="441" customWidth="1"/>
    <col min="4632" max="4632" width="6.44140625" style="441" customWidth="1"/>
    <col min="4633" max="4633" width="7.44140625" style="441" customWidth="1"/>
    <col min="4634" max="4634" width="5.88671875" style="441" customWidth="1"/>
    <col min="4635" max="4635" width="6.44140625" style="441" customWidth="1"/>
    <col min="4636" max="4636" width="5.88671875" style="441" customWidth="1"/>
    <col min="4637" max="4637" width="5.109375" style="441" customWidth="1"/>
    <col min="4638" max="4638" width="12.88671875" style="441" customWidth="1"/>
    <col min="4639" max="4639" width="15" style="441" customWidth="1"/>
    <col min="4640" max="4640" width="20.6640625" style="441" customWidth="1"/>
    <col min="4641" max="4641" width="23.6640625" style="441" customWidth="1"/>
    <col min="4642" max="4642" width="5.44140625" style="441" customWidth="1"/>
    <col min="4643" max="4875" width="11.44140625" style="441"/>
    <col min="4876" max="4876" width="6" style="441" customWidth="1"/>
    <col min="4877" max="4877" width="15.6640625" style="441" customWidth="1"/>
    <col min="4878" max="4879" width="13.109375" style="441" customWidth="1"/>
    <col min="4880" max="4880" width="6.44140625" style="441" customWidth="1"/>
    <col min="4881" max="4881" width="6.6640625" style="441" customWidth="1"/>
    <col min="4882" max="4882" width="5" style="441" customWidth="1"/>
    <col min="4883" max="4883" width="5.6640625" style="441" customWidth="1"/>
    <col min="4884" max="4884" width="5.109375" style="441" customWidth="1"/>
    <col min="4885" max="4885" width="4.6640625" style="441" customWidth="1"/>
    <col min="4886" max="4886" width="8.109375" style="441" customWidth="1"/>
    <col min="4887" max="4887" width="10.88671875" style="441" customWidth="1"/>
    <col min="4888" max="4888" width="6.44140625" style="441" customWidth="1"/>
    <col min="4889" max="4889" width="7.44140625" style="441" customWidth="1"/>
    <col min="4890" max="4890" width="5.88671875" style="441" customWidth="1"/>
    <col min="4891" max="4891" width="6.44140625" style="441" customWidth="1"/>
    <col min="4892" max="4892" width="5.88671875" style="441" customWidth="1"/>
    <col min="4893" max="4893" width="5.109375" style="441" customWidth="1"/>
    <col min="4894" max="4894" width="12.88671875" style="441" customWidth="1"/>
    <col min="4895" max="4895" width="15" style="441" customWidth="1"/>
    <col min="4896" max="4896" width="20.6640625" style="441" customWidth="1"/>
    <col min="4897" max="4897" width="23.6640625" style="441" customWidth="1"/>
    <col min="4898" max="4898" width="5.44140625" style="441" customWidth="1"/>
    <col min="4899" max="5131" width="11.44140625" style="441"/>
    <col min="5132" max="5132" width="6" style="441" customWidth="1"/>
    <col min="5133" max="5133" width="15.6640625" style="441" customWidth="1"/>
    <col min="5134" max="5135" width="13.109375" style="441" customWidth="1"/>
    <col min="5136" max="5136" width="6.44140625" style="441" customWidth="1"/>
    <col min="5137" max="5137" width="6.6640625" style="441" customWidth="1"/>
    <col min="5138" max="5138" width="5" style="441" customWidth="1"/>
    <col min="5139" max="5139" width="5.6640625" style="441" customWidth="1"/>
    <col min="5140" max="5140" width="5.109375" style="441" customWidth="1"/>
    <col min="5141" max="5141" width="4.6640625" style="441" customWidth="1"/>
    <col min="5142" max="5142" width="8.109375" style="441" customWidth="1"/>
    <col min="5143" max="5143" width="10.88671875" style="441" customWidth="1"/>
    <col min="5144" max="5144" width="6.44140625" style="441" customWidth="1"/>
    <col min="5145" max="5145" width="7.44140625" style="441" customWidth="1"/>
    <col min="5146" max="5146" width="5.88671875" style="441" customWidth="1"/>
    <col min="5147" max="5147" width="6.44140625" style="441" customWidth="1"/>
    <col min="5148" max="5148" width="5.88671875" style="441" customWidth="1"/>
    <col min="5149" max="5149" width="5.109375" style="441" customWidth="1"/>
    <col min="5150" max="5150" width="12.88671875" style="441" customWidth="1"/>
    <col min="5151" max="5151" width="15" style="441" customWidth="1"/>
    <col min="5152" max="5152" width="20.6640625" style="441" customWidth="1"/>
    <col min="5153" max="5153" width="23.6640625" style="441" customWidth="1"/>
    <col min="5154" max="5154" width="5.44140625" style="441" customWidth="1"/>
    <col min="5155" max="5387" width="11.44140625" style="441"/>
    <col min="5388" max="5388" width="6" style="441" customWidth="1"/>
    <col min="5389" max="5389" width="15.6640625" style="441" customWidth="1"/>
    <col min="5390" max="5391" width="13.109375" style="441" customWidth="1"/>
    <col min="5392" max="5392" width="6.44140625" style="441" customWidth="1"/>
    <col min="5393" max="5393" width="6.6640625" style="441" customWidth="1"/>
    <col min="5394" max="5394" width="5" style="441" customWidth="1"/>
    <col min="5395" max="5395" width="5.6640625" style="441" customWidth="1"/>
    <col min="5396" max="5396" width="5.109375" style="441" customWidth="1"/>
    <col min="5397" max="5397" width="4.6640625" style="441" customWidth="1"/>
    <col min="5398" max="5398" width="8.109375" style="441" customWidth="1"/>
    <col min="5399" max="5399" width="10.88671875" style="441" customWidth="1"/>
    <col min="5400" max="5400" width="6.44140625" style="441" customWidth="1"/>
    <col min="5401" max="5401" width="7.44140625" style="441" customWidth="1"/>
    <col min="5402" max="5402" width="5.88671875" style="441" customWidth="1"/>
    <col min="5403" max="5403" width="6.44140625" style="441" customWidth="1"/>
    <col min="5404" max="5404" width="5.88671875" style="441" customWidth="1"/>
    <col min="5405" max="5405" width="5.109375" style="441" customWidth="1"/>
    <col min="5406" max="5406" width="12.88671875" style="441" customWidth="1"/>
    <col min="5407" max="5407" width="15" style="441" customWidth="1"/>
    <col min="5408" max="5408" width="20.6640625" style="441" customWidth="1"/>
    <col min="5409" max="5409" width="23.6640625" style="441" customWidth="1"/>
    <col min="5410" max="5410" width="5.44140625" style="441" customWidth="1"/>
    <col min="5411" max="5643" width="11.44140625" style="441"/>
    <col min="5644" max="5644" width="6" style="441" customWidth="1"/>
    <col min="5645" max="5645" width="15.6640625" style="441" customWidth="1"/>
    <col min="5646" max="5647" width="13.109375" style="441" customWidth="1"/>
    <col min="5648" max="5648" width="6.44140625" style="441" customWidth="1"/>
    <col min="5649" max="5649" width="6.6640625" style="441" customWidth="1"/>
    <col min="5650" max="5650" width="5" style="441" customWidth="1"/>
    <col min="5651" max="5651" width="5.6640625" style="441" customWidth="1"/>
    <col min="5652" max="5652" width="5.109375" style="441" customWidth="1"/>
    <col min="5653" max="5653" width="4.6640625" style="441" customWidth="1"/>
    <col min="5654" max="5654" width="8.109375" style="441" customWidth="1"/>
    <col min="5655" max="5655" width="10.88671875" style="441" customWidth="1"/>
    <col min="5656" max="5656" width="6.44140625" style="441" customWidth="1"/>
    <col min="5657" max="5657" width="7.44140625" style="441" customWidth="1"/>
    <col min="5658" max="5658" width="5.88671875" style="441" customWidth="1"/>
    <col min="5659" max="5659" width="6.44140625" style="441" customWidth="1"/>
    <col min="5660" max="5660" width="5.88671875" style="441" customWidth="1"/>
    <col min="5661" max="5661" width="5.109375" style="441" customWidth="1"/>
    <col min="5662" max="5662" width="12.88671875" style="441" customWidth="1"/>
    <col min="5663" max="5663" width="15" style="441" customWidth="1"/>
    <col min="5664" max="5664" width="20.6640625" style="441" customWidth="1"/>
    <col min="5665" max="5665" width="23.6640625" style="441" customWidth="1"/>
    <col min="5666" max="5666" width="5.44140625" style="441" customWidth="1"/>
    <col min="5667" max="5899" width="11.44140625" style="441"/>
    <col min="5900" max="5900" width="6" style="441" customWidth="1"/>
    <col min="5901" max="5901" width="15.6640625" style="441" customWidth="1"/>
    <col min="5902" max="5903" width="13.109375" style="441" customWidth="1"/>
    <col min="5904" max="5904" width="6.44140625" style="441" customWidth="1"/>
    <col min="5905" max="5905" width="6.6640625" style="441" customWidth="1"/>
    <col min="5906" max="5906" width="5" style="441" customWidth="1"/>
    <col min="5907" max="5907" width="5.6640625" style="441" customWidth="1"/>
    <col min="5908" max="5908" width="5.109375" style="441" customWidth="1"/>
    <col min="5909" max="5909" width="4.6640625" style="441" customWidth="1"/>
    <col min="5910" max="5910" width="8.109375" style="441" customWidth="1"/>
    <col min="5911" max="5911" width="10.88671875" style="441" customWidth="1"/>
    <col min="5912" max="5912" width="6.44140625" style="441" customWidth="1"/>
    <col min="5913" max="5913" width="7.44140625" style="441" customWidth="1"/>
    <col min="5914" max="5914" width="5.88671875" style="441" customWidth="1"/>
    <col min="5915" max="5915" width="6.44140625" style="441" customWidth="1"/>
    <col min="5916" max="5916" width="5.88671875" style="441" customWidth="1"/>
    <col min="5917" max="5917" width="5.109375" style="441" customWidth="1"/>
    <col min="5918" max="5918" width="12.88671875" style="441" customWidth="1"/>
    <col min="5919" max="5919" width="15" style="441" customWidth="1"/>
    <col min="5920" max="5920" width="20.6640625" style="441" customWidth="1"/>
    <col min="5921" max="5921" width="23.6640625" style="441" customWidth="1"/>
    <col min="5922" max="5922" width="5.44140625" style="441" customWidth="1"/>
    <col min="5923" max="6155" width="11.44140625" style="441"/>
    <col min="6156" max="6156" width="6" style="441" customWidth="1"/>
    <col min="6157" max="6157" width="15.6640625" style="441" customWidth="1"/>
    <col min="6158" max="6159" width="13.109375" style="441" customWidth="1"/>
    <col min="6160" max="6160" width="6.44140625" style="441" customWidth="1"/>
    <col min="6161" max="6161" width="6.6640625" style="441" customWidth="1"/>
    <col min="6162" max="6162" width="5" style="441" customWidth="1"/>
    <col min="6163" max="6163" width="5.6640625" style="441" customWidth="1"/>
    <col min="6164" max="6164" width="5.109375" style="441" customWidth="1"/>
    <col min="6165" max="6165" width="4.6640625" style="441" customWidth="1"/>
    <col min="6166" max="6166" width="8.109375" style="441" customWidth="1"/>
    <col min="6167" max="6167" width="10.88671875" style="441" customWidth="1"/>
    <col min="6168" max="6168" width="6.44140625" style="441" customWidth="1"/>
    <col min="6169" max="6169" width="7.44140625" style="441" customWidth="1"/>
    <col min="6170" max="6170" width="5.88671875" style="441" customWidth="1"/>
    <col min="6171" max="6171" width="6.44140625" style="441" customWidth="1"/>
    <col min="6172" max="6172" width="5.88671875" style="441" customWidth="1"/>
    <col min="6173" max="6173" width="5.109375" style="441" customWidth="1"/>
    <col min="6174" max="6174" width="12.88671875" style="441" customWidth="1"/>
    <col min="6175" max="6175" width="15" style="441" customWidth="1"/>
    <col min="6176" max="6176" width="20.6640625" style="441" customWidth="1"/>
    <col min="6177" max="6177" width="23.6640625" style="441" customWidth="1"/>
    <col min="6178" max="6178" width="5.44140625" style="441" customWidth="1"/>
    <col min="6179" max="6411" width="11.44140625" style="441"/>
    <col min="6412" max="6412" width="6" style="441" customWidth="1"/>
    <col min="6413" max="6413" width="15.6640625" style="441" customWidth="1"/>
    <col min="6414" max="6415" width="13.109375" style="441" customWidth="1"/>
    <col min="6416" max="6416" width="6.44140625" style="441" customWidth="1"/>
    <col min="6417" max="6417" width="6.6640625" style="441" customWidth="1"/>
    <col min="6418" max="6418" width="5" style="441" customWidth="1"/>
    <col min="6419" max="6419" width="5.6640625" style="441" customWidth="1"/>
    <col min="6420" max="6420" width="5.109375" style="441" customWidth="1"/>
    <col min="6421" max="6421" width="4.6640625" style="441" customWidth="1"/>
    <col min="6422" max="6422" width="8.109375" style="441" customWidth="1"/>
    <col min="6423" max="6423" width="10.88671875" style="441" customWidth="1"/>
    <col min="6424" max="6424" width="6.44140625" style="441" customWidth="1"/>
    <col min="6425" max="6425" width="7.44140625" style="441" customWidth="1"/>
    <col min="6426" max="6426" width="5.88671875" style="441" customWidth="1"/>
    <col min="6427" max="6427" width="6.44140625" style="441" customWidth="1"/>
    <col min="6428" max="6428" width="5.88671875" style="441" customWidth="1"/>
    <col min="6429" max="6429" width="5.109375" style="441" customWidth="1"/>
    <col min="6430" max="6430" width="12.88671875" style="441" customWidth="1"/>
    <col min="6431" max="6431" width="15" style="441" customWidth="1"/>
    <col min="6432" max="6432" width="20.6640625" style="441" customWidth="1"/>
    <col min="6433" max="6433" width="23.6640625" style="441" customWidth="1"/>
    <col min="6434" max="6434" width="5.44140625" style="441" customWidth="1"/>
    <col min="6435" max="6667" width="11.44140625" style="441"/>
    <col min="6668" max="6668" width="6" style="441" customWidth="1"/>
    <col min="6669" max="6669" width="15.6640625" style="441" customWidth="1"/>
    <col min="6670" max="6671" width="13.109375" style="441" customWidth="1"/>
    <col min="6672" max="6672" width="6.44140625" style="441" customWidth="1"/>
    <col min="6673" max="6673" width="6.6640625" style="441" customWidth="1"/>
    <col min="6674" max="6674" width="5" style="441" customWidth="1"/>
    <col min="6675" max="6675" width="5.6640625" style="441" customWidth="1"/>
    <col min="6676" max="6676" width="5.109375" style="441" customWidth="1"/>
    <col min="6677" max="6677" width="4.6640625" style="441" customWidth="1"/>
    <col min="6678" max="6678" width="8.109375" style="441" customWidth="1"/>
    <col min="6679" max="6679" width="10.88671875" style="441" customWidth="1"/>
    <col min="6680" max="6680" width="6.44140625" style="441" customWidth="1"/>
    <col min="6681" max="6681" width="7.44140625" style="441" customWidth="1"/>
    <col min="6682" max="6682" width="5.88671875" style="441" customWidth="1"/>
    <col min="6683" max="6683" width="6.44140625" style="441" customWidth="1"/>
    <col min="6684" max="6684" width="5.88671875" style="441" customWidth="1"/>
    <col min="6685" max="6685" width="5.109375" style="441" customWidth="1"/>
    <col min="6686" max="6686" width="12.88671875" style="441" customWidth="1"/>
    <col min="6687" max="6687" width="15" style="441" customWidth="1"/>
    <col min="6688" max="6688" width="20.6640625" style="441" customWidth="1"/>
    <col min="6689" max="6689" width="23.6640625" style="441" customWidth="1"/>
    <col min="6690" max="6690" width="5.44140625" style="441" customWidth="1"/>
    <col min="6691" max="6923" width="11.44140625" style="441"/>
    <col min="6924" max="6924" width="6" style="441" customWidth="1"/>
    <col min="6925" max="6925" width="15.6640625" style="441" customWidth="1"/>
    <col min="6926" max="6927" width="13.109375" style="441" customWidth="1"/>
    <col min="6928" max="6928" width="6.44140625" style="441" customWidth="1"/>
    <col min="6929" max="6929" width="6.6640625" style="441" customWidth="1"/>
    <col min="6930" max="6930" width="5" style="441" customWidth="1"/>
    <col min="6931" max="6931" width="5.6640625" style="441" customWidth="1"/>
    <col min="6932" max="6932" width="5.109375" style="441" customWidth="1"/>
    <col min="6933" max="6933" width="4.6640625" style="441" customWidth="1"/>
    <col min="6934" max="6934" width="8.109375" style="441" customWidth="1"/>
    <col min="6935" max="6935" width="10.88671875" style="441" customWidth="1"/>
    <col min="6936" max="6936" width="6.44140625" style="441" customWidth="1"/>
    <col min="6937" max="6937" width="7.44140625" style="441" customWidth="1"/>
    <col min="6938" max="6938" width="5.88671875" style="441" customWidth="1"/>
    <col min="6939" max="6939" width="6.44140625" style="441" customWidth="1"/>
    <col min="6940" max="6940" width="5.88671875" style="441" customWidth="1"/>
    <col min="6941" max="6941" width="5.109375" style="441" customWidth="1"/>
    <col min="6942" max="6942" width="12.88671875" style="441" customWidth="1"/>
    <col min="6943" max="6943" width="15" style="441" customWidth="1"/>
    <col min="6944" max="6944" width="20.6640625" style="441" customWidth="1"/>
    <col min="6945" max="6945" width="23.6640625" style="441" customWidth="1"/>
    <col min="6946" max="6946" width="5.44140625" style="441" customWidth="1"/>
    <col min="6947" max="7179" width="11.44140625" style="441"/>
    <col min="7180" max="7180" width="6" style="441" customWidth="1"/>
    <col min="7181" max="7181" width="15.6640625" style="441" customWidth="1"/>
    <col min="7182" max="7183" width="13.109375" style="441" customWidth="1"/>
    <col min="7184" max="7184" width="6.44140625" style="441" customWidth="1"/>
    <col min="7185" max="7185" width="6.6640625" style="441" customWidth="1"/>
    <col min="7186" max="7186" width="5" style="441" customWidth="1"/>
    <col min="7187" max="7187" width="5.6640625" style="441" customWidth="1"/>
    <col min="7188" max="7188" width="5.109375" style="441" customWidth="1"/>
    <col min="7189" max="7189" width="4.6640625" style="441" customWidth="1"/>
    <col min="7190" max="7190" width="8.109375" style="441" customWidth="1"/>
    <col min="7191" max="7191" width="10.88671875" style="441" customWidth="1"/>
    <col min="7192" max="7192" width="6.44140625" style="441" customWidth="1"/>
    <col min="7193" max="7193" width="7.44140625" style="441" customWidth="1"/>
    <col min="7194" max="7194" width="5.88671875" style="441" customWidth="1"/>
    <col min="7195" max="7195" width="6.44140625" style="441" customWidth="1"/>
    <col min="7196" max="7196" width="5.88671875" style="441" customWidth="1"/>
    <col min="7197" max="7197" width="5.109375" style="441" customWidth="1"/>
    <col min="7198" max="7198" width="12.88671875" style="441" customWidth="1"/>
    <col min="7199" max="7199" width="15" style="441" customWidth="1"/>
    <col min="7200" max="7200" width="20.6640625" style="441" customWidth="1"/>
    <col min="7201" max="7201" width="23.6640625" style="441" customWidth="1"/>
    <col min="7202" max="7202" width="5.44140625" style="441" customWidth="1"/>
    <col min="7203" max="7435" width="11.44140625" style="441"/>
    <col min="7436" max="7436" width="6" style="441" customWidth="1"/>
    <col min="7437" max="7437" width="15.6640625" style="441" customWidth="1"/>
    <col min="7438" max="7439" width="13.109375" style="441" customWidth="1"/>
    <col min="7440" max="7440" width="6.44140625" style="441" customWidth="1"/>
    <col min="7441" max="7441" width="6.6640625" style="441" customWidth="1"/>
    <col min="7442" max="7442" width="5" style="441" customWidth="1"/>
    <col min="7443" max="7443" width="5.6640625" style="441" customWidth="1"/>
    <col min="7444" max="7444" width="5.109375" style="441" customWidth="1"/>
    <col min="7445" max="7445" width="4.6640625" style="441" customWidth="1"/>
    <col min="7446" max="7446" width="8.109375" style="441" customWidth="1"/>
    <col min="7447" max="7447" width="10.88671875" style="441" customWidth="1"/>
    <col min="7448" max="7448" width="6.44140625" style="441" customWidth="1"/>
    <col min="7449" max="7449" width="7.44140625" style="441" customWidth="1"/>
    <col min="7450" max="7450" width="5.88671875" style="441" customWidth="1"/>
    <col min="7451" max="7451" width="6.44140625" style="441" customWidth="1"/>
    <col min="7452" max="7452" width="5.88671875" style="441" customWidth="1"/>
    <col min="7453" max="7453" width="5.109375" style="441" customWidth="1"/>
    <col min="7454" max="7454" width="12.88671875" style="441" customWidth="1"/>
    <col min="7455" max="7455" width="15" style="441" customWidth="1"/>
    <col min="7456" max="7456" width="20.6640625" style="441" customWidth="1"/>
    <col min="7457" max="7457" width="23.6640625" style="441" customWidth="1"/>
    <col min="7458" max="7458" width="5.44140625" style="441" customWidth="1"/>
    <col min="7459" max="7691" width="11.44140625" style="441"/>
    <col min="7692" max="7692" width="6" style="441" customWidth="1"/>
    <col min="7693" max="7693" width="15.6640625" style="441" customWidth="1"/>
    <col min="7694" max="7695" width="13.109375" style="441" customWidth="1"/>
    <col min="7696" max="7696" width="6.44140625" style="441" customWidth="1"/>
    <col min="7697" max="7697" width="6.6640625" style="441" customWidth="1"/>
    <col min="7698" max="7698" width="5" style="441" customWidth="1"/>
    <col min="7699" max="7699" width="5.6640625" style="441" customWidth="1"/>
    <col min="7700" max="7700" width="5.109375" style="441" customWidth="1"/>
    <col min="7701" max="7701" width="4.6640625" style="441" customWidth="1"/>
    <col min="7702" max="7702" width="8.109375" style="441" customWidth="1"/>
    <col min="7703" max="7703" width="10.88671875" style="441" customWidth="1"/>
    <col min="7704" max="7704" width="6.44140625" style="441" customWidth="1"/>
    <col min="7705" max="7705" width="7.44140625" style="441" customWidth="1"/>
    <col min="7706" max="7706" width="5.88671875" style="441" customWidth="1"/>
    <col min="7707" max="7707" width="6.44140625" style="441" customWidth="1"/>
    <col min="7708" max="7708" width="5.88671875" style="441" customWidth="1"/>
    <col min="7709" max="7709" width="5.109375" style="441" customWidth="1"/>
    <col min="7710" max="7710" width="12.88671875" style="441" customWidth="1"/>
    <col min="7711" max="7711" width="15" style="441" customWidth="1"/>
    <col min="7712" max="7712" width="20.6640625" style="441" customWidth="1"/>
    <col min="7713" max="7713" width="23.6640625" style="441" customWidth="1"/>
    <col min="7714" max="7714" width="5.44140625" style="441" customWidth="1"/>
    <col min="7715" max="7947" width="11.44140625" style="441"/>
    <col min="7948" max="7948" width="6" style="441" customWidth="1"/>
    <col min="7949" max="7949" width="15.6640625" style="441" customWidth="1"/>
    <col min="7950" max="7951" width="13.109375" style="441" customWidth="1"/>
    <col min="7952" max="7952" width="6.44140625" style="441" customWidth="1"/>
    <col min="7953" max="7953" width="6.6640625" style="441" customWidth="1"/>
    <col min="7954" max="7954" width="5" style="441" customWidth="1"/>
    <col min="7955" max="7955" width="5.6640625" style="441" customWidth="1"/>
    <col min="7956" max="7956" width="5.109375" style="441" customWidth="1"/>
    <col min="7957" max="7957" width="4.6640625" style="441" customWidth="1"/>
    <col min="7958" max="7958" width="8.109375" style="441" customWidth="1"/>
    <col min="7959" max="7959" width="10.88671875" style="441" customWidth="1"/>
    <col min="7960" max="7960" width="6.44140625" style="441" customWidth="1"/>
    <col min="7961" max="7961" width="7.44140625" style="441" customWidth="1"/>
    <col min="7962" max="7962" width="5.88671875" style="441" customWidth="1"/>
    <col min="7963" max="7963" width="6.44140625" style="441" customWidth="1"/>
    <col min="7964" max="7964" width="5.88671875" style="441" customWidth="1"/>
    <col min="7965" max="7965" width="5.109375" style="441" customWidth="1"/>
    <col min="7966" max="7966" width="12.88671875" style="441" customWidth="1"/>
    <col min="7967" max="7967" width="15" style="441" customWidth="1"/>
    <col min="7968" max="7968" width="20.6640625" style="441" customWidth="1"/>
    <col min="7969" max="7969" width="23.6640625" style="441" customWidth="1"/>
    <col min="7970" max="7970" width="5.44140625" style="441" customWidth="1"/>
    <col min="7971" max="8203" width="11.44140625" style="441"/>
    <col min="8204" max="8204" width="6" style="441" customWidth="1"/>
    <col min="8205" max="8205" width="15.6640625" style="441" customWidth="1"/>
    <col min="8206" max="8207" width="13.109375" style="441" customWidth="1"/>
    <col min="8208" max="8208" width="6.44140625" style="441" customWidth="1"/>
    <col min="8209" max="8209" width="6.6640625" style="441" customWidth="1"/>
    <col min="8210" max="8210" width="5" style="441" customWidth="1"/>
    <col min="8211" max="8211" width="5.6640625" style="441" customWidth="1"/>
    <col min="8212" max="8212" width="5.109375" style="441" customWidth="1"/>
    <col min="8213" max="8213" width="4.6640625" style="441" customWidth="1"/>
    <col min="8214" max="8214" width="8.109375" style="441" customWidth="1"/>
    <col min="8215" max="8215" width="10.88671875" style="441" customWidth="1"/>
    <col min="8216" max="8216" width="6.44140625" style="441" customWidth="1"/>
    <col min="8217" max="8217" width="7.44140625" style="441" customWidth="1"/>
    <col min="8218" max="8218" width="5.88671875" style="441" customWidth="1"/>
    <col min="8219" max="8219" width="6.44140625" style="441" customWidth="1"/>
    <col min="8220" max="8220" width="5.88671875" style="441" customWidth="1"/>
    <col min="8221" max="8221" width="5.109375" style="441" customWidth="1"/>
    <col min="8222" max="8222" width="12.88671875" style="441" customWidth="1"/>
    <col min="8223" max="8223" width="15" style="441" customWidth="1"/>
    <col min="8224" max="8224" width="20.6640625" style="441" customWidth="1"/>
    <col min="8225" max="8225" width="23.6640625" style="441" customWidth="1"/>
    <col min="8226" max="8226" width="5.44140625" style="441" customWidth="1"/>
    <col min="8227" max="8459" width="11.44140625" style="441"/>
    <col min="8460" max="8460" width="6" style="441" customWidth="1"/>
    <col min="8461" max="8461" width="15.6640625" style="441" customWidth="1"/>
    <col min="8462" max="8463" width="13.109375" style="441" customWidth="1"/>
    <col min="8464" max="8464" width="6.44140625" style="441" customWidth="1"/>
    <col min="8465" max="8465" width="6.6640625" style="441" customWidth="1"/>
    <col min="8466" max="8466" width="5" style="441" customWidth="1"/>
    <col min="8467" max="8467" width="5.6640625" style="441" customWidth="1"/>
    <col min="8468" max="8468" width="5.109375" style="441" customWidth="1"/>
    <col min="8469" max="8469" width="4.6640625" style="441" customWidth="1"/>
    <col min="8470" max="8470" width="8.109375" style="441" customWidth="1"/>
    <col min="8471" max="8471" width="10.88671875" style="441" customWidth="1"/>
    <col min="8472" max="8472" width="6.44140625" style="441" customWidth="1"/>
    <col min="8473" max="8473" width="7.44140625" style="441" customWidth="1"/>
    <col min="8474" max="8474" width="5.88671875" style="441" customWidth="1"/>
    <col min="8475" max="8475" width="6.44140625" style="441" customWidth="1"/>
    <col min="8476" max="8476" width="5.88671875" style="441" customWidth="1"/>
    <col min="8477" max="8477" width="5.109375" style="441" customWidth="1"/>
    <col min="8478" max="8478" width="12.88671875" style="441" customWidth="1"/>
    <col min="8479" max="8479" width="15" style="441" customWidth="1"/>
    <col min="8480" max="8480" width="20.6640625" style="441" customWidth="1"/>
    <col min="8481" max="8481" width="23.6640625" style="441" customWidth="1"/>
    <col min="8482" max="8482" width="5.44140625" style="441" customWidth="1"/>
    <col min="8483" max="8715" width="11.44140625" style="441"/>
    <col min="8716" max="8716" width="6" style="441" customWidth="1"/>
    <col min="8717" max="8717" width="15.6640625" style="441" customWidth="1"/>
    <col min="8718" max="8719" width="13.109375" style="441" customWidth="1"/>
    <col min="8720" max="8720" width="6.44140625" style="441" customWidth="1"/>
    <col min="8721" max="8721" width="6.6640625" style="441" customWidth="1"/>
    <col min="8722" max="8722" width="5" style="441" customWidth="1"/>
    <col min="8723" max="8723" width="5.6640625" style="441" customWidth="1"/>
    <col min="8724" max="8724" width="5.109375" style="441" customWidth="1"/>
    <col min="8725" max="8725" width="4.6640625" style="441" customWidth="1"/>
    <col min="8726" max="8726" width="8.109375" style="441" customWidth="1"/>
    <col min="8727" max="8727" width="10.88671875" style="441" customWidth="1"/>
    <col min="8728" max="8728" width="6.44140625" style="441" customWidth="1"/>
    <col min="8729" max="8729" width="7.44140625" style="441" customWidth="1"/>
    <col min="8730" max="8730" width="5.88671875" style="441" customWidth="1"/>
    <col min="8731" max="8731" width="6.44140625" style="441" customWidth="1"/>
    <col min="8732" max="8732" width="5.88671875" style="441" customWidth="1"/>
    <col min="8733" max="8733" width="5.109375" style="441" customWidth="1"/>
    <col min="8734" max="8734" width="12.88671875" style="441" customWidth="1"/>
    <col min="8735" max="8735" width="15" style="441" customWidth="1"/>
    <col min="8736" max="8736" width="20.6640625" style="441" customWidth="1"/>
    <col min="8737" max="8737" width="23.6640625" style="441" customWidth="1"/>
    <col min="8738" max="8738" width="5.44140625" style="441" customWidth="1"/>
    <col min="8739" max="8971" width="11.44140625" style="441"/>
    <col min="8972" max="8972" width="6" style="441" customWidth="1"/>
    <col min="8973" max="8973" width="15.6640625" style="441" customWidth="1"/>
    <col min="8974" max="8975" width="13.109375" style="441" customWidth="1"/>
    <col min="8976" max="8976" width="6.44140625" style="441" customWidth="1"/>
    <col min="8977" max="8977" width="6.6640625" style="441" customWidth="1"/>
    <col min="8978" max="8978" width="5" style="441" customWidth="1"/>
    <col min="8979" max="8979" width="5.6640625" style="441" customWidth="1"/>
    <col min="8980" max="8980" width="5.109375" style="441" customWidth="1"/>
    <col min="8981" max="8981" width="4.6640625" style="441" customWidth="1"/>
    <col min="8982" max="8982" width="8.109375" style="441" customWidth="1"/>
    <col min="8983" max="8983" width="10.88671875" style="441" customWidth="1"/>
    <col min="8984" max="8984" width="6.44140625" style="441" customWidth="1"/>
    <col min="8985" max="8985" width="7.44140625" style="441" customWidth="1"/>
    <col min="8986" max="8986" width="5.88671875" style="441" customWidth="1"/>
    <col min="8987" max="8987" width="6.44140625" style="441" customWidth="1"/>
    <col min="8988" max="8988" width="5.88671875" style="441" customWidth="1"/>
    <col min="8989" max="8989" width="5.109375" style="441" customWidth="1"/>
    <col min="8990" max="8990" width="12.88671875" style="441" customWidth="1"/>
    <col min="8991" max="8991" width="15" style="441" customWidth="1"/>
    <col min="8992" max="8992" width="20.6640625" style="441" customWidth="1"/>
    <col min="8993" max="8993" width="23.6640625" style="441" customWidth="1"/>
    <col min="8994" max="8994" width="5.44140625" style="441" customWidth="1"/>
    <col min="8995" max="9227" width="11.44140625" style="441"/>
    <col min="9228" max="9228" width="6" style="441" customWidth="1"/>
    <col min="9229" max="9229" width="15.6640625" style="441" customWidth="1"/>
    <col min="9230" max="9231" width="13.109375" style="441" customWidth="1"/>
    <col min="9232" max="9232" width="6.44140625" style="441" customWidth="1"/>
    <col min="9233" max="9233" width="6.6640625" style="441" customWidth="1"/>
    <col min="9234" max="9234" width="5" style="441" customWidth="1"/>
    <col min="9235" max="9235" width="5.6640625" style="441" customWidth="1"/>
    <col min="9236" max="9236" width="5.109375" style="441" customWidth="1"/>
    <col min="9237" max="9237" width="4.6640625" style="441" customWidth="1"/>
    <col min="9238" max="9238" width="8.109375" style="441" customWidth="1"/>
    <col min="9239" max="9239" width="10.88671875" style="441" customWidth="1"/>
    <col min="9240" max="9240" width="6.44140625" style="441" customWidth="1"/>
    <col min="9241" max="9241" width="7.44140625" style="441" customWidth="1"/>
    <col min="9242" max="9242" width="5.88671875" style="441" customWidth="1"/>
    <col min="9243" max="9243" width="6.44140625" style="441" customWidth="1"/>
    <col min="9244" max="9244" width="5.88671875" style="441" customWidth="1"/>
    <col min="9245" max="9245" width="5.109375" style="441" customWidth="1"/>
    <col min="9246" max="9246" width="12.88671875" style="441" customWidth="1"/>
    <col min="9247" max="9247" width="15" style="441" customWidth="1"/>
    <col min="9248" max="9248" width="20.6640625" style="441" customWidth="1"/>
    <col min="9249" max="9249" width="23.6640625" style="441" customWidth="1"/>
    <col min="9250" max="9250" width="5.44140625" style="441" customWidth="1"/>
    <col min="9251" max="9483" width="11.44140625" style="441"/>
    <col min="9484" max="9484" width="6" style="441" customWidth="1"/>
    <col min="9485" max="9485" width="15.6640625" style="441" customWidth="1"/>
    <col min="9486" max="9487" width="13.109375" style="441" customWidth="1"/>
    <col min="9488" max="9488" width="6.44140625" style="441" customWidth="1"/>
    <col min="9489" max="9489" width="6.6640625" style="441" customWidth="1"/>
    <col min="9490" max="9490" width="5" style="441" customWidth="1"/>
    <col min="9491" max="9491" width="5.6640625" style="441" customWidth="1"/>
    <col min="9492" max="9492" width="5.109375" style="441" customWidth="1"/>
    <col min="9493" max="9493" width="4.6640625" style="441" customWidth="1"/>
    <col min="9494" max="9494" width="8.109375" style="441" customWidth="1"/>
    <col min="9495" max="9495" width="10.88671875" style="441" customWidth="1"/>
    <col min="9496" max="9496" width="6.44140625" style="441" customWidth="1"/>
    <col min="9497" max="9497" width="7.44140625" style="441" customWidth="1"/>
    <col min="9498" max="9498" width="5.88671875" style="441" customWidth="1"/>
    <col min="9499" max="9499" width="6.44140625" style="441" customWidth="1"/>
    <col min="9500" max="9500" width="5.88671875" style="441" customWidth="1"/>
    <col min="9501" max="9501" width="5.109375" style="441" customWidth="1"/>
    <col min="9502" max="9502" width="12.88671875" style="441" customWidth="1"/>
    <col min="9503" max="9503" width="15" style="441" customWidth="1"/>
    <col min="9504" max="9504" width="20.6640625" style="441" customWidth="1"/>
    <col min="9505" max="9505" width="23.6640625" style="441" customWidth="1"/>
    <col min="9506" max="9506" width="5.44140625" style="441" customWidth="1"/>
    <col min="9507" max="9739" width="11.44140625" style="441"/>
    <col min="9740" max="9740" width="6" style="441" customWidth="1"/>
    <col min="9741" max="9741" width="15.6640625" style="441" customWidth="1"/>
    <col min="9742" max="9743" width="13.109375" style="441" customWidth="1"/>
    <col min="9744" max="9744" width="6.44140625" style="441" customWidth="1"/>
    <col min="9745" max="9745" width="6.6640625" style="441" customWidth="1"/>
    <col min="9746" max="9746" width="5" style="441" customWidth="1"/>
    <col min="9747" max="9747" width="5.6640625" style="441" customWidth="1"/>
    <col min="9748" max="9748" width="5.109375" style="441" customWidth="1"/>
    <col min="9749" max="9749" width="4.6640625" style="441" customWidth="1"/>
    <col min="9750" max="9750" width="8.109375" style="441" customWidth="1"/>
    <col min="9751" max="9751" width="10.88671875" style="441" customWidth="1"/>
    <col min="9752" max="9752" width="6.44140625" style="441" customWidth="1"/>
    <col min="9753" max="9753" width="7.44140625" style="441" customWidth="1"/>
    <col min="9754" max="9754" width="5.88671875" style="441" customWidth="1"/>
    <col min="9755" max="9755" width="6.44140625" style="441" customWidth="1"/>
    <col min="9756" max="9756" width="5.88671875" style="441" customWidth="1"/>
    <col min="9757" max="9757" width="5.109375" style="441" customWidth="1"/>
    <col min="9758" max="9758" width="12.88671875" style="441" customWidth="1"/>
    <col min="9759" max="9759" width="15" style="441" customWidth="1"/>
    <col min="9760" max="9760" width="20.6640625" style="441" customWidth="1"/>
    <col min="9761" max="9761" width="23.6640625" style="441" customWidth="1"/>
    <col min="9762" max="9762" width="5.44140625" style="441" customWidth="1"/>
    <col min="9763" max="9995" width="11.44140625" style="441"/>
    <col min="9996" max="9996" width="6" style="441" customWidth="1"/>
    <col min="9997" max="9997" width="15.6640625" style="441" customWidth="1"/>
    <col min="9998" max="9999" width="13.109375" style="441" customWidth="1"/>
    <col min="10000" max="10000" width="6.44140625" style="441" customWidth="1"/>
    <col min="10001" max="10001" width="6.6640625" style="441" customWidth="1"/>
    <col min="10002" max="10002" width="5" style="441" customWidth="1"/>
    <col min="10003" max="10003" width="5.6640625" style="441" customWidth="1"/>
    <col min="10004" max="10004" width="5.109375" style="441" customWidth="1"/>
    <col min="10005" max="10005" width="4.6640625" style="441" customWidth="1"/>
    <col min="10006" max="10006" width="8.109375" style="441" customWidth="1"/>
    <col min="10007" max="10007" width="10.88671875" style="441" customWidth="1"/>
    <col min="10008" max="10008" width="6.44140625" style="441" customWidth="1"/>
    <col min="10009" max="10009" width="7.44140625" style="441" customWidth="1"/>
    <col min="10010" max="10010" width="5.88671875" style="441" customWidth="1"/>
    <col min="10011" max="10011" width="6.44140625" style="441" customWidth="1"/>
    <col min="10012" max="10012" width="5.88671875" style="441" customWidth="1"/>
    <col min="10013" max="10013" width="5.109375" style="441" customWidth="1"/>
    <col min="10014" max="10014" width="12.88671875" style="441" customWidth="1"/>
    <col min="10015" max="10015" width="15" style="441" customWidth="1"/>
    <col min="10016" max="10016" width="20.6640625" style="441" customWidth="1"/>
    <col min="10017" max="10017" width="23.6640625" style="441" customWidth="1"/>
    <col min="10018" max="10018" width="5.44140625" style="441" customWidth="1"/>
    <col min="10019" max="10251" width="11.44140625" style="441"/>
    <col min="10252" max="10252" width="6" style="441" customWidth="1"/>
    <col min="10253" max="10253" width="15.6640625" style="441" customWidth="1"/>
    <col min="10254" max="10255" width="13.109375" style="441" customWidth="1"/>
    <col min="10256" max="10256" width="6.44140625" style="441" customWidth="1"/>
    <col min="10257" max="10257" width="6.6640625" style="441" customWidth="1"/>
    <col min="10258" max="10258" width="5" style="441" customWidth="1"/>
    <col min="10259" max="10259" width="5.6640625" style="441" customWidth="1"/>
    <col min="10260" max="10260" width="5.109375" style="441" customWidth="1"/>
    <col min="10261" max="10261" width="4.6640625" style="441" customWidth="1"/>
    <col min="10262" max="10262" width="8.109375" style="441" customWidth="1"/>
    <col min="10263" max="10263" width="10.88671875" style="441" customWidth="1"/>
    <col min="10264" max="10264" width="6.44140625" style="441" customWidth="1"/>
    <col min="10265" max="10265" width="7.44140625" style="441" customWidth="1"/>
    <col min="10266" max="10266" width="5.88671875" style="441" customWidth="1"/>
    <col min="10267" max="10267" width="6.44140625" style="441" customWidth="1"/>
    <col min="10268" max="10268" width="5.88671875" style="441" customWidth="1"/>
    <col min="10269" max="10269" width="5.109375" style="441" customWidth="1"/>
    <col min="10270" max="10270" width="12.88671875" style="441" customWidth="1"/>
    <col min="10271" max="10271" width="15" style="441" customWidth="1"/>
    <col min="10272" max="10272" width="20.6640625" style="441" customWidth="1"/>
    <col min="10273" max="10273" width="23.6640625" style="441" customWidth="1"/>
    <col min="10274" max="10274" width="5.44140625" style="441" customWidth="1"/>
    <col min="10275" max="10507" width="11.44140625" style="441"/>
    <col min="10508" max="10508" width="6" style="441" customWidth="1"/>
    <col min="10509" max="10509" width="15.6640625" style="441" customWidth="1"/>
    <col min="10510" max="10511" width="13.109375" style="441" customWidth="1"/>
    <col min="10512" max="10512" width="6.44140625" style="441" customWidth="1"/>
    <col min="10513" max="10513" width="6.6640625" style="441" customWidth="1"/>
    <col min="10514" max="10514" width="5" style="441" customWidth="1"/>
    <col min="10515" max="10515" width="5.6640625" style="441" customWidth="1"/>
    <col min="10516" max="10516" width="5.109375" style="441" customWidth="1"/>
    <col min="10517" max="10517" width="4.6640625" style="441" customWidth="1"/>
    <col min="10518" max="10518" width="8.109375" style="441" customWidth="1"/>
    <col min="10519" max="10519" width="10.88671875" style="441" customWidth="1"/>
    <col min="10520" max="10520" width="6.44140625" style="441" customWidth="1"/>
    <col min="10521" max="10521" width="7.44140625" style="441" customWidth="1"/>
    <col min="10522" max="10522" width="5.88671875" style="441" customWidth="1"/>
    <col min="10523" max="10523" width="6.44140625" style="441" customWidth="1"/>
    <col min="10524" max="10524" width="5.88671875" style="441" customWidth="1"/>
    <col min="10525" max="10525" width="5.109375" style="441" customWidth="1"/>
    <col min="10526" max="10526" width="12.88671875" style="441" customWidth="1"/>
    <col min="10527" max="10527" width="15" style="441" customWidth="1"/>
    <col min="10528" max="10528" width="20.6640625" style="441" customWidth="1"/>
    <col min="10529" max="10529" width="23.6640625" style="441" customWidth="1"/>
    <col min="10530" max="10530" width="5.44140625" style="441" customWidth="1"/>
    <col min="10531" max="10763" width="11.44140625" style="441"/>
    <col min="10764" max="10764" width="6" style="441" customWidth="1"/>
    <col min="10765" max="10765" width="15.6640625" style="441" customWidth="1"/>
    <col min="10766" max="10767" width="13.109375" style="441" customWidth="1"/>
    <col min="10768" max="10768" width="6.44140625" style="441" customWidth="1"/>
    <col min="10769" max="10769" width="6.6640625" style="441" customWidth="1"/>
    <col min="10770" max="10770" width="5" style="441" customWidth="1"/>
    <col min="10771" max="10771" width="5.6640625" style="441" customWidth="1"/>
    <col min="10772" max="10772" width="5.109375" style="441" customWidth="1"/>
    <col min="10773" max="10773" width="4.6640625" style="441" customWidth="1"/>
    <col min="10774" max="10774" width="8.109375" style="441" customWidth="1"/>
    <col min="10775" max="10775" width="10.88671875" style="441" customWidth="1"/>
    <col min="10776" max="10776" width="6.44140625" style="441" customWidth="1"/>
    <col min="10777" max="10777" width="7.44140625" style="441" customWidth="1"/>
    <col min="10778" max="10778" width="5.88671875" style="441" customWidth="1"/>
    <col min="10779" max="10779" width="6.44140625" style="441" customWidth="1"/>
    <col min="10780" max="10780" width="5.88671875" style="441" customWidth="1"/>
    <col min="10781" max="10781" width="5.109375" style="441" customWidth="1"/>
    <col min="10782" max="10782" width="12.88671875" style="441" customWidth="1"/>
    <col min="10783" max="10783" width="15" style="441" customWidth="1"/>
    <col min="10784" max="10784" width="20.6640625" style="441" customWidth="1"/>
    <col min="10785" max="10785" width="23.6640625" style="441" customWidth="1"/>
    <col min="10786" max="10786" width="5.44140625" style="441" customWidth="1"/>
    <col min="10787" max="11019" width="11.44140625" style="441"/>
    <col min="11020" max="11020" width="6" style="441" customWidth="1"/>
    <col min="11021" max="11021" width="15.6640625" style="441" customWidth="1"/>
    <col min="11022" max="11023" width="13.109375" style="441" customWidth="1"/>
    <col min="11024" max="11024" width="6.44140625" style="441" customWidth="1"/>
    <col min="11025" max="11025" width="6.6640625" style="441" customWidth="1"/>
    <col min="11026" max="11026" width="5" style="441" customWidth="1"/>
    <col min="11027" max="11027" width="5.6640625" style="441" customWidth="1"/>
    <col min="11028" max="11028" width="5.109375" style="441" customWidth="1"/>
    <col min="11029" max="11029" width="4.6640625" style="441" customWidth="1"/>
    <col min="11030" max="11030" width="8.109375" style="441" customWidth="1"/>
    <col min="11031" max="11031" width="10.88671875" style="441" customWidth="1"/>
    <col min="11032" max="11032" width="6.44140625" style="441" customWidth="1"/>
    <col min="11033" max="11033" width="7.44140625" style="441" customWidth="1"/>
    <col min="11034" max="11034" width="5.88671875" style="441" customWidth="1"/>
    <col min="11035" max="11035" width="6.44140625" style="441" customWidth="1"/>
    <col min="11036" max="11036" width="5.88671875" style="441" customWidth="1"/>
    <col min="11037" max="11037" width="5.109375" style="441" customWidth="1"/>
    <col min="11038" max="11038" width="12.88671875" style="441" customWidth="1"/>
    <col min="11039" max="11039" width="15" style="441" customWidth="1"/>
    <col min="11040" max="11040" width="20.6640625" style="441" customWidth="1"/>
    <col min="11041" max="11041" width="23.6640625" style="441" customWidth="1"/>
    <col min="11042" max="11042" width="5.44140625" style="441" customWidth="1"/>
    <col min="11043" max="11275" width="11.44140625" style="441"/>
    <col min="11276" max="11276" width="6" style="441" customWidth="1"/>
    <col min="11277" max="11277" width="15.6640625" style="441" customWidth="1"/>
    <col min="11278" max="11279" width="13.109375" style="441" customWidth="1"/>
    <col min="11280" max="11280" width="6.44140625" style="441" customWidth="1"/>
    <col min="11281" max="11281" width="6.6640625" style="441" customWidth="1"/>
    <col min="11282" max="11282" width="5" style="441" customWidth="1"/>
    <col min="11283" max="11283" width="5.6640625" style="441" customWidth="1"/>
    <col min="11284" max="11284" width="5.109375" style="441" customWidth="1"/>
    <col min="11285" max="11285" width="4.6640625" style="441" customWidth="1"/>
    <col min="11286" max="11286" width="8.109375" style="441" customWidth="1"/>
    <col min="11287" max="11287" width="10.88671875" style="441" customWidth="1"/>
    <col min="11288" max="11288" width="6.44140625" style="441" customWidth="1"/>
    <col min="11289" max="11289" width="7.44140625" style="441" customWidth="1"/>
    <col min="11290" max="11290" width="5.88671875" style="441" customWidth="1"/>
    <col min="11291" max="11291" width="6.44140625" style="441" customWidth="1"/>
    <col min="11292" max="11292" width="5.88671875" style="441" customWidth="1"/>
    <col min="11293" max="11293" width="5.109375" style="441" customWidth="1"/>
    <col min="11294" max="11294" width="12.88671875" style="441" customWidth="1"/>
    <col min="11295" max="11295" width="15" style="441" customWidth="1"/>
    <col min="11296" max="11296" width="20.6640625" style="441" customWidth="1"/>
    <col min="11297" max="11297" width="23.6640625" style="441" customWidth="1"/>
    <col min="11298" max="11298" width="5.44140625" style="441" customWidth="1"/>
    <col min="11299" max="11531" width="11.44140625" style="441"/>
    <col min="11532" max="11532" width="6" style="441" customWidth="1"/>
    <col min="11533" max="11533" width="15.6640625" style="441" customWidth="1"/>
    <col min="11534" max="11535" width="13.109375" style="441" customWidth="1"/>
    <col min="11536" max="11536" width="6.44140625" style="441" customWidth="1"/>
    <col min="11537" max="11537" width="6.6640625" style="441" customWidth="1"/>
    <col min="11538" max="11538" width="5" style="441" customWidth="1"/>
    <col min="11539" max="11539" width="5.6640625" style="441" customWidth="1"/>
    <col min="11540" max="11540" width="5.109375" style="441" customWidth="1"/>
    <col min="11541" max="11541" width="4.6640625" style="441" customWidth="1"/>
    <col min="11542" max="11542" width="8.109375" style="441" customWidth="1"/>
    <col min="11543" max="11543" width="10.88671875" style="441" customWidth="1"/>
    <col min="11544" max="11544" width="6.44140625" style="441" customWidth="1"/>
    <col min="11545" max="11545" width="7.44140625" style="441" customWidth="1"/>
    <col min="11546" max="11546" width="5.88671875" style="441" customWidth="1"/>
    <col min="11547" max="11547" width="6.44140625" style="441" customWidth="1"/>
    <col min="11548" max="11548" width="5.88671875" style="441" customWidth="1"/>
    <col min="11549" max="11549" width="5.109375" style="441" customWidth="1"/>
    <col min="11550" max="11550" width="12.88671875" style="441" customWidth="1"/>
    <col min="11551" max="11551" width="15" style="441" customWidth="1"/>
    <col min="11552" max="11552" width="20.6640625" style="441" customWidth="1"/>
    <col min="11553" max="11553" width="23.6640625" style="441" customWidth="1"/>
    <col min="11554" max="11554" width="5.44140625" style="441" customWidth="1"/>
    <col min="11555" max="11787" width="11.44140625" style="441"/>
    <col min="11788" max="11788" width="6" style="441" customWidth="1"/>
    <col min="11789" max="11789" width="15.6640625" style="441" customWidth="1"/>
    <col min="11790" max="11791" width="13.109375" style="441" customWidth="1"/>
    <col min="11792" max="11792" width="6.44140625" style="441" customWidth="1"/>
    <col min="11793" max="11793" width="6.6640625" style="441" customWidth="1"/>
    <col min="11794" max="11794" width="5" style="441" customWidth="1"/>
    <col min="11795" max="11795" width="5.6640625" style="441" customWidth="1"/>
    <col min="11796" max="11796" width="5.109375" style="441" customWidth="1"/>
    <col min="11797" max="11797" width="4.6640625" style="441" customWidth="1"/>
    <col min="11798" max="11798" width="8.109375" style="441" customWidth="1"/>
    <col min="11799" max="11799" width="10.88671875" style="441" customWidth="1"/>
    <col min="11800" max="11800" width="6.44140625" style="441" customWidth="1"/>
    <col min="11801" max="11801" width="7.44140625" style="441" customWidth="1"/>
    <col min="11802" max="11802" width="5.88671875" style="441" customWidth="1"/>
    <col min="11803" max="11803" width="6.44140625" style="441" customWidth="1"/>
    <col min="11804" max="11804" width="5.88671875" style="441" customWidth="1"/>
    <col min="11805" max="11805" width="5.109375" style="441" customWidth="1"/>
    <col min="11806" max="11806" width="12.88671875" style="441" customWidth="1"/>
    <col min="11807" max="11807" width="15" style="441" customWidth="1"/>
    <col min="11808" max="11808" width="20.6640625" style="441" customWidth="1"/>
    <col min="11809" max="11809" width="23.6640625" style="441" customWidth="1"/>
    <col min="11810" max="11810" width="5.44140625" style="441" customWidth="1"/>
    <col min="11811" max="12043" width="11.44140625" style="441"/>
    <col min="12044" max="12044" width="6" style="441" customWidth="1"/>
    <col min="12045" max="12045" width="15.6640625" style="441" customWidth="1"/>
    <col min="12046" max="12047" width="13.109375" style="441" customWidth="1"/>
    <col min="12048" max="12048" width="6.44140625" style="441" customWidth="1"/>
    <col min="12049" max="12049" width="6.6640625" style="441" customWidth="1"/>
    <col min="12050" max="12050" width="5" style="441" customWidth="1"/>
    <col min="12051" max="12051" width="5.6640625" style="441" customWidth="1"/>
    <col min="12052" max="12052" width="5.109375" style="441" customWidth="1"/>
    <col min="12053" max="12053" width="4.6640625" style="441" customWidth="1"/>
    <col min="12054" max="12054" width="8.109375" style="441" customWidth="1"/>
    <col min="12055" max="12055" width="10.88671875" style="441" customWidth="1"/>
    <col min="12056" max="12056" width="6.44140625" style="441" customWidth="1"/>
    <col min="12057" max="12057" width="7.44140625" style="441" customWidth="1"/>
    <col min="12058" max="12058" width="5.88671875" style="441" customWidth="1"/>
    <col min="12059" max="12059" width="6.44140625" style="441" customWidth="1"/>
    <col min="12060" max="12060" width="5.88671875" style="441" customWidth="1"/>
    <col min="12061" max="12061" width="5.109375" style="441" customWidth="1"/>
    <col min="12062" max="12062" width="12.88671875" style="441" customWidth="1"/>
    <col min="12063" max="12063" width="15" style="441" customWidth="1"/>
    <col min="12064" max="12064" width="20.6640625" style="441" customWidth="1"/>
    <col min="12065" max="12065" width="23.6640625" style="441" customWidth="1"/>
    <col min="12066" max="12066" width="5.44140625" style="441" customWidth="1"/>
    <col min="12067" max="12299" width="11.44140625" style="441"/>
    <col min="12300" max="12300" width="6" style="441" customWidth="1"/>
    <col min="12301" max="12301" width="15.6640625" style="441" customWidth="1"/>
    <col min="12302" max="12303" width="13.109375" style="441" customWidth="1"/>
    <col min="12304" max="12304" width="6.44140625" style="441" customWidth="1"/>
    <col min="12305" max="12305" width="6.6640625" style="441" customWidth="1"/>
    <col min="12306" max="12306" width="5" style="441" customWidth="1"/>
    <col min="12307" max="12307" width="5.6640625" style="441" customWidth="1"/>
    <col min="12308" max="12308" width="5.109375" style="441" customWidth="1"/>
    <col min="12309" max="12309" width="4.6640625" style="441" customWidth="1"/>
    <col min="12310" max="12310" width="8.109375" style="441" customWidth="1"/>
    <col min="12311" max="12311" width="10.88671875" style="441" customWidth="1"/>
    <col min="12312" max="12312" width="6.44140625" style="441" customWidth="1"/>
    <col min="12313" max="12313" width="7.44140625" style="441" customWidth="1"/>
    <col min="12314" max="12314" width="5.88671875" style="441" customWidth="1"/>
    <col min="12315" max="12315" width="6.44140625" style="441" customWidth="1"/>
    <col min="12316" max="12316" width="5.88671875" style="441" customWidth="1"/>
    <col min="12317" max="12317" width="5.109375" style="441" customWidth="1"/>
    <col min="12318" max="12318" width="12.88671875" style="441" customWidth="1"/>
    <col min="12319" max="12319" width="15" style="441" customWidth="1"/>
    <col min="12320" max="12320" width="20.6640625" style="441" customWidth="1"/>
    <col min="12321" max="12321" width="23.6640625" style="441" customWidth="1"/>
    <col min="12322" max="12322" width="5.44140625" style="441" customWidth="1"/>
    <col min="12323" max="12555" width="11.44140625" style="441"/>
    <col min="12556" max="12556" width="6" style="441" customWidth="1"/>
    <col min="12557" max="12557" width="15.6640625" style="441" customWidth="1"/>
    <col min="12558" max="12559" width="13.109375" style="441" customWidth="1"/>
    <col min="12560" max="12560" width="6.44140625" style="441" customWidth="1"/>
    <col min="12561" max="12561" width="6.6640625" style="441" customWidth="1"/>
    <col min="12562" max="12562" width="5" style="441" customWidth="1"/>
    <col min="12563" max="12563" width="5.6640625" style="441" customWidth="1"/>
    <col min="12564" max="12564" width="5.109375" style="441" customWidth="1"/>
    <col min="12565" max="12565" width="4.6640625" style="441" customWidth="1"/>
    <col min="12566" max="12566" width="8.109375" style="441" customWidth="1"/>
    <col min="12567" max="12567" width="10.88671875" style="441" customWidth="1"/>
    <col min="12568" max="12568" width="6.44140625" style="441" customWidth="1"/>
    <col min="12569" max="12569" width="7.44140625" style="441" customWidth="1"/>
    <col min="12570" max="12570" width="5.88671875" style="441" customWidth="1"/>
    <col min="12571" max="12571" width="6.44140625" style="441" customWidth="1"/>
    <col min="12572" max="12572" width="5.88671875" style="441" customWidth="1"/>
    <col min="12573" max="12573" width="5.109375" style="441" customWidth="1"/>
    <col min="12574" max="12574" width="12.88671875" style="441" customWidth="1"/>
    <col min="12575" max="12575" width="15" style="441" customWidth="1"/>
    <col min="12576" max="12576" width="20.6640625" style="441" customWidth="1"/>
    <col min="12577" max="12577" width="23.6640625" style="441" customWidth="1"/>
    <col min="12578" max="12578" width="5.44140625" style="441" customWidth="1"/>
    <col min="12579" max="12811" width="11.44140625" style="441"/>
    <col min="12812" max="12812" width="6" style="441" customWidth="1"/>
    <col min="12813" max="12813" width="15.6640625" style="441" customWidth="1"/>
    <col min="12814" max="12815" width="13.109375" style="441" customWidth="1"/>
    <col min="12816" max="12816" width="6.44140625" style="441" customWidth="1"/>
    <col min="12817" max="12817" width="6.6640625" style="441" customWidth="1"/>
    <col min="12818" max="12818" width="5" style="441" customWidth="1"/>
    <col min="12819" max="12819" width="5.6640625" style="441" customWidth="1"/>
    <col min="12820" max="12820" width="5.109375" style="441" customWidth="1"/>
    <col min="12821" max="12821" width="4.6640625" style="441" customWidth="1"/>
    <col min="12822" max="12822" width="8.109375" style="441" customWidth="1"/>
    <col min="12823" max="12823" width="10.88671875" style="441" customWidth="1"/>
    <col min="12824" max="12824" width="6.44140625" style="441" customWidth="1"/>
    <col min="12825" max="12825" width="7.44140625" style="441" customWidth="1"/>
    <col min="12826" max="12826" width="5.88671875" style="441" customWidth="1"/>
    <col min="12827" max="12827" width="6.44140625" style="441" customWidth="1"/>
    <col min="12828" max="12828" width="5.88671875" style="441" customWidth="1"/>
    <col min="12829" max="12829" width="5.109375" style="441" customWidth="1"/>
    <col min="12830" max="12830" width="12.88671875" style="441" customWidth="1"/>
    <col min="12831" max="12831" width="15" style="441" customWidth="1"/>
    <col min="12832" max="12832" width="20.6640625" style="441" customWidth="1"/>
    <col min="12833" max="12833" width="23.6640625" style="441" customWidth="1"/>
    <col min="12834" max="12834" width="5.44140625" style="441" customWidth="1"/>
    <col min="12835" max="13067" width="11.44140625" style="441"/>
    <col min="13068" max="13068" width="6" style="441" customWidth="1"/>
    <col min="13069" max="13069" width="15.6640625" style="441" customWidth="1"/>
    <col min="13070" max="13071" width="13.109375" style="441" customWidth="1"/>
    <col min="13072" max="13072" width="6.44140625" style="441" customWidth="1"/>
    <col min="13073" max="13073" width="6.6640625" style="441" customWidth="1"/>
    <col min="13074" max="13074" width="5" style="441" customWidth="1"/>
    <col min="13075" max="13075" width="5.6640625" style="441" customWidth="1"/>
    <col min="13076" max="13076" width="5.109375" style="441" customWidth="1"/>
    <col min="13077" max="13077" width="4.6640625" style="441" customWidth="1"/>
    <col min="13078" max="13078" width="8.109375" style="441" customWidth="1"/>
    <col min="13079" max="13079" width="10.88671875" style="441" customWidth="1"/>
    <col min="13080" max="13080" width="6.44140625" style="441" customWidth="1"/>
    <col min="13081" max="13081" width="7.44140625" style="441" customWidth="1"/>
    <col min="13082" max="13082" width="5.88671875" style="441" customWidth="1"/>
    <col min="13083" max="13083" width="6.44140625" style="441" customWidth="1"/>
    <col min="13084" max="13084" width="5.88671875" style="441" customWidth="1"/>
    <col min="13085" max="13085" width="5.109375" style="441" customWidth="1"/>
    <col min="13086" max="13086" width="12.88671875" style="441" customWidth="1"/>
    <col min="13087" max="13087" width="15" style="441" customWidth="1"/>
    <col min="13088" max="13088" width="20.6640625" style="441" customWidth="1"/>
    <col min="13089" max="13089" width="23.6640625" style="441" customWidth="1"/>
    <col min="13090" max="13090" width="5.44140625" style="441" customWidth="1"/>
    <col min="13091" max="13323" width="11.44140625" style="441"/>
    <col min="13324" max="13324" width="6" style="441" customWidth="1"/>
    <col min="13325" max="13325" width="15.6640625" style="441" customWidth="1"/>
    <col min="13326" max="13327" width="13.109375" style="441" customWidth="1"/>
    <col min="13328" max="13328" width="6.44140625" style="441" customWidth="1"/>
    <col min="13329" max="13329" width="6.6640625" style="441" customWidth="1"/>
    <col min="13330" max="13330" width="5" style="441" customWidth="1"/>
    <col min="13331" max="13331" width="5.6640625" style="441" customWidth="1"/>
    <col min="13332" max="13332" width="5.109375" style="441" customWidth="1"/>
    <col min="13333" max="13333" width="4.6640625" style="441" customWidth="1"/>
    <col min="13334" max="13334" width="8.109375" style="441" customWidth="1"/>
    <col min="13335" max="13335" width="10.88671875" style="441" customWidth="1"/>
    <col min="13336" max="13336" width="6.44140625" style="441" customWidth="1"/>
    <col min="13337" max="13337" width="7.44140625" style="441" customWidth="1"/>
    <col min="13338" max="13338" width="5.88671875" style="441" customWidth="1"/>
    <col min="13339" max="13339" width="6.44140625" style="441" customWidth="1"/>
    <col min="13340" max="13340" width="5.88671875" style="441" customWidth="1"/>
    <col min="13341" max="13341" width="5.109375" style="441" customWidth="1"/>
    <col min="13342" max="13342" width="12.88671875" style="441" customWidth="1"/>
    <col min="13343" max="13343" width="15" style="441" customWidth="1"/>
    <col min="13344" max="13344" width="20.6640625" style="441" customWidth="1"/>
    <col min="13345" max="13345" width="23.6640625" style="441" customWidth="1"/>
    <col min="13346" max="13346" width="5.44140625" style="441" customWidth="1"/>
    <col min="13347" max="13579" width="11.44140625" style="441"/>
    <col min="13580" max="13580" width="6" style="441" customWidth="1"/>
    <col min="13581" max="13581" width="15.6640625" style="441" customWidth="1"/>
    <col min="13582" max="13583" width="13.109375" style="441" customWidth="1"/>
    <col min="13584" max="13584" width="6.44140625" style="441" customWidth="1"/>
    <col min="13585" max="13585" width="6.6640625" style="441" customWidth="1"/>
    <col min="13586" max="13586" width="5" style="441" customWidth="1"/>
    <col min="13587" max="13587" width="5.6640625" style="441" customWidth="1"/>
    <col min="13588" max="13588" width="5.109375" style="441" customWidth="1"/>
    <col min="13589" max="13589" width="4.6640625" style="441" customWidth="1"/>
    <col min="13590" max="13590" width="8.109375" style="441" customWidth="1"/>
    <col min="13591" max="13591" width="10.88671875" style="441" customWidth="1"/>
    <col min="13592" max="13592" width="6.44140625" style="441" customWidth="1"/>
    <col min="13593" max="13593" width="7.44140625" style="441" customWidth="1"/>
    <col min="13594" max="13594" width="5.88671875" style="441" customWidth="1"/>
    <col min="13595" max="13595" width="6.44140625" style="441" customWidth="1"/>
    <col min="13596" max="13596" width="5.88671875" style="441" customWidth="1"/>
    <col min="13597" max="13597" width="5.109375" style="441" customWidth="1"/>
    <col min="13598" max="13598" width="12.88671875" style="441" customWidth="1"/>
    <col min="13599" max="13599" width="15" style="441" customWidth="1"/>
    <col min="13600" max="13600" width="20.6640625" style="441" customWidth="1"/>
    <col min="13601" max="13601" width="23.6640625" style="441" customWidth="1"/>
    <col min="13602" max="13602" width="5.44140625" style="441" customWidth="1"/>
    <col min="13603" max="13835" width="11.44140625" style="441"/>
    <col min="13836" max="13836" width="6" style="441" customWidth="1"/>
    <col min="13837" max="13837" width="15.6640625" style="441" customWidth="1"/>
    <col min="13838" max="13839" width="13.109375" style="441" customWidth="1"/>
    <col min="13840" max="13840" width="6.44140625" style="441" customWidth="1"/>
    <col min="13841" max="13841" width="6.6640625" style="441" customWidth="1"/>
    <col min="13842" max="13842" width="5" style="441" customWidth="1"/>
    <col min="13843" max="13843" width="5.6640625" style="441" customWidth="1"/>
    <col min="13844" max="13844" width="5.109375" style="441" customWidth="1"/>
    <col min="13845" max="13845" width="4.6640625" style="441" customWidth="1"/>
    <col min="13846" max="13846" width="8.109375" style="441" customWidth="1"/>
    <col min="13847" max="13847" width="10.88671875" style="441" customWidth="1"/>
    <col min="13848" max="13848" width="6.44140625" style="441" customWidth="1"/>
    <col min="13849" max="13849" width="7.44140625" style="441" customWidth="1"/>
    <col min="13850" max="13850" width="5.88671875" style="441" customWidth="1"/>
    <col min="13851" max="13851" width="6.44140625" style="441" customWidth="1"/>
    <col min="13852" max="13852" width="5.88671875" style="441" customWidth="1"/>
    <col min="13853" max="13853" width="5.109375" style="441" customWidth="1"/>
    <col min="13854" max="13854" width="12.88671875" style="441" customWidth="1"/>
    <col min="13855" max="13855" width="15" style="441" customWidth="1"/>
    <col min="13856" max="13856" width="20.6640625" style="441" customWidth="1"/>
    <col min="13857" max="13857" width="23.6640625" style="441" customWidth="1"/>
    <col min="13858" max="13858" width="5.44140625" style="441" customWidth="1"/>
    <col min="13859" max="14091" width="11.44140625" style="441"/>
    <col min="14092" max="14092" width="6" style="441" customWidth="1"/>
    <col min="14093" max="14093" width="15.6640625" style="441" customWidth="1"/>
    <col min="14094" max="14095" width="13.109375" style="441" customWidth="1"/>
    <col min="14096" max="14096" width="6.44140625" style="441" customWidth="1"/>
    <col min="14097" max="14097" width="6.6640625" style="441" customWidth="1"/>
    <col min="14098" max="14098" width="5" style="441" customWidth="1"/>
    <col min="14099" max="14099" width="5.6640625" style="441" customWidth="1"/>
    <col min="14100" max="14100" width="5.109375" style="441" customWidth="1"/>
    <col min="14101" max="14101" width="4.6640625" style="441" customWidth="1"/>
    <col min="14102" max="14102" width="8.109375" style="441" customWidth="1"/>
    <col min="14103" max="14103" width="10.88671875" style="441" customWidth="1"/>
    <col min="14104" max="14104" width="6.44140625" style="441" customWidth="1"/>
    <col min="14105" max="14105" width="7.44140625" style="441" customWidth="1"/>
    <col min="14106" max="14106" width="5.88671875" style="441" customWidth="1"/>
    <col min="14107" max="14107" width="6.44140625" style="441" customWidth="1"/>
    <col min="14108" max="14108" width="5.88671875" style="441" customWidth="1"/>
    <col min="14109" max="14109" width="5.109375" style="441" customWidth="1"/>
    <col min="14110" max="14110" width="12.88671875" style="441" customWidth="1"/>
    <col min="14111" max="14111" width="15" style="441" customWidth="1"/>
    <col min="14112" max="14112" width="20.6640625" style="441" customWidth="1"/>
    <col min="14113" max="14113" width="23.6640625" style="441" customWidth="1"/>
    <col min="14114" max="14114" width="5.44140625" style="441" customWidth="1"/>
    <col min="14115" max="14347" width="11.44140625" style="441"/>
    <col min="14348" max="14348" width="6" style="441" customWidth="1"/>
    <col min="14349" max="14349" width="15.6640625" style="441" customWidth="1"/>
    <col min="14350" max="14351" width="13.109375" style="441" customWidth="1"/>
    <col min="14352" max="14352" width="6.44140625" style="441" customWidth="1"/>
    <col min="14353" max="14353" width="6.6640625" style="441" customWidth="1"/>
    <col min="14354" max="14354" width="5" style="441" customWidth="1"/>
    <col min="14355" max="14355" width="5.6640625" style="441" customWidth="1"/>
    <col min="14356" max="14356" width="5.109375" style="441" customWidth="1"/>
    <col min="14357" max="14357" width="4.6640625" style="441" customWidth="1"/>
    <col min="14358" max="14358" width="8.109375" style="441" customWidth="1"/>
    <col min="14359" max="14359" width="10.88671875" style="441" customWidth="1"/>
    <col min="14360" max="14360" width="6.44140625" style="441" customWidth="1"/>
    <col min="14361" max="14361" width="7.44140625" style="441" customWidth="1"/>
    <col min="14362" max="14362" width="5.88671875" style="441" customWidth="1"/>
    <col min="14363" max="14363" width="6.44140625" style="441" customWidth="1"/>
    <col min="14364" max="14364" width="5.88671875" style="441" customWidth="1"/>
    <col min="14365" max="14365" width="5.109375" style="441" customWidth="1"/>
    <col min="14366" max="14366" width="12.88671875" style="441" customWidth="1"/>
    <col min="14367" max="14367" width="15" style="441" customWidth="1"/>
    <col min="14368" max="14368" width="20.6640625" style="441" customWidth="1"/>
    <col min="14369" max="14369" width="23.6640625" style="441" customWidth="1"/>
    <col min="14370" max="14370" width="5.44140625" style="441" customWidth="1"/>
    <col min="14371" max="14603" width="11.44140625" style="441"/>
    <col min="14604" max="14604" width="6" style="441" customWidth="1"/>
    <col min="14605" max="14605" width="15.6640625" style="441" customWidth="1"/>
    <col min="14606" max="14607" width="13.109375" style="441" customWidth="1"/>
    <col min="14608" max="14608" width="6.44140625" style="441" customWidth="1"/>
    <col min="14609" max="14609" width="6.6640625" style="441" customWidth="1"/>
    <col min="14610" max="14610" width="5" style="441" customWidth="1"/>
    <col min="14611" max="14611" width="5.6640625" style="441" customWidth="1"/>
    <col min="14612" max="14612" width="5.109375" style="441" customWidth="1"/>
    <col min="14613" max="14613" width="4.6640625" style="441" customWidth="1"/>
    <col min="14614" max="14614" width="8.109375" style="441" customWidth="1"/>
    <col min="14615" max="14615" width="10.88671875" style="441" customWidth="1"/>
    <col min="14616" max="14616" width="6.44140625" style="441" customWidth="1"/>
    <col min="14617" max="14617" width="7.44140625" style="441" customWidth="1"/>
    <col min="14618" max="14618" width="5.88671875" style="441" customWidth="1"/>
    <col min="14619" max="14619" width="6.44140625" style="441" customWidth="1"/>
    <col min="14620" max="14620" width="5.88671875" style="441" customWidth="1"/>
    <col min="14621" max="14621" width="5.109375" style="441" customWidth="1"/>
    <col min="14622" max="14622" width="12.88671875" style="441" customWidth="1"/>
    <col min="14623" max="14623" width="15" style="441" customWidth="1"/>
    <col min="14624" max="14624" width="20.6640625" style="441" customWidth="1"/>
    <col min="14625" max="14625" width="23.6640625" style="441" customWidth="1"/>
    <col min="14626" max="14626" width="5.44140625" style="441" customWidth="1"/>
    <col min="14627" max="14859" width="11.44140625" style="441"/>
    <col min="14860" max="14860" width="6" style="441" customWidth="1"/>
    <col min="14861" max="14861" width="15.6640625" style="441" customWidth="1"/>
    <col min="14862" max="14863" width="13.109375" style="441" customWidth="1"/>
    <col min="14864" max="14864" width="6.44140625" style="441" customWidth="1"/>
    <col min="14865" max="14865" width="6.6640625" style="441" customWidth="1"/>
    <col min="14866" max="14866" width="5" style="441" customWidth="1"/>
    <col min="14867" max="14867" width="5.6640625" style="441" customWidth="1"/>
    <col min="14868" max="14868" width="5.109375" style="441" customWidth="1"/>
    <col min="14869" max="14869" width="4.6640625" style="441" customWidth="1"/>
    <col min="14870" max="14870" width="8.109375" style="441" customWidth="1"/>
    <col min="14871" max="14871" width="10.88671875" style="441" customWidth="1"/>
    <col min="14872" max="14872" width="6.44140625" style="441" customWidth="1"/>
    <col min="14873" max="14873" width="7.44140625" style="441" customWidth="1"/>
    <col min="14874" max="14874" width="5.88671875" style="441" customWidth="1"/>
    <col min="14875" max="14875" width="6.44140625" style="441" customWidth="1"/>
    <col min="14876" max="14876" width="5.88671875" style="441" customWidth="1"/>
    <col min="14877" max="14877" width="5.109375" style="441" customWidth="1"/>
    <col min="14878" max="14878" width="12.88671875" style="441" customWidth="1"/>
    <col min="14879" max="14879" width="15" style="441" customWidth="1"/>
    <col min="14880" max="14880" width="20.6640625" style="441" customWidth="1"/>
    <col min="14881" max="14881" width="23.6640625" style="441" customWidth="1"/>
    <col min="14882" max="14882" width="5.44140625" style="441" customWidth="1"/>
    <col min="14883" max="15115" width="11.44140625" style="441"/>
    <col min="15116" max="15116" width="6" style="441" customWidth="1"/>
    <col min="15117" max="15117" width="15.6640625" style="441" customWidth="1"/>
    <col min="15118" max="15119" width="13.109375" style="441" customWidth="1"/>
    <col min="15120" max="15120" width="6.44140625" style="441" customWidth="1"/>
    <col min="15121" max="15121" width="6.6640625" style="441" customWidth="1"/>
    <col min="15122" max="15122" width="5" style="441" customWidth="1"/>
    <col min="15123" max="15123" width="5.6640625" style="441" customWidth="1"/>
    <col min="15124" max="15124" width="5.109375" style="441" customWidth="1"/>
    <col min="15125" max="15125" width="4.6640625" style="441" customWidth="1"/>
    <col min="15126" max="15126" width="8.109375" style="441" customWidth="1"/>
    <col min="15127" max="15127" width="10.88671875" style="441" customWidth="1"/>
    <col min="15128" max="15128" width="6.44140625" style="441" customWidth="1"/>
    <col min="15129" max="15129" width="7.44140625" style="441" customWidth="1"/>
    <col min="15130" max="15130" width="5.88671875" style="441" customWidth="1"/>
    <col min="15131" max="15131" width="6.44140625" style="441" customWidth="1"/>
    <col min="15132" max="15132" width="5.88671875" style="441" customWidth="1"/>
    <col min="15133" max="15133" width="5.109375" style="441" customWidth="1"/>
    <col min="15134" max="15134" width="12.88671875" style="441" customWidth="1"/>
    <col min="15135" max="15135" width="15" style="441" customWidth="1"/>
    <col min="15136" max="15136" width="20.6640625" style="441" customWidth="1"/>
    <col min="15137" max="15137" width="23.6640625" style="441" customWidth="1"/>
    <col min="15138" max="15138" width="5.44140625" style="441" customWidth="1"/>
    <col min="15139" max="15371" width="11.44140625" style="441"/>
    <col min="15372" max="15372" width="6" style="441" customWidth="1"/>
    <col min="15373" max="15373" width="15.6640625" style="441" customWidth="1"/>
    <col min="15374" max="15375" width="13.109375" style="441" customWidth="1"/>
    <col min="15376" max="15376" width="6.44140625" style="441" customWidth="1"/>
    <col min="15377" max="15377" width="6.6640625" style="441" customWidth="1"/>
    <col min="15378" max="15378" width="5" style="441" customWidth="1"/>
    <col min="15379" max="15379" width="5.6640625" style="441" customWidth="1"/>
    <col min="15380" max="15380" width="5.109375" style="441" customWidth="1"/>
    <col min="15381" max="15381" width="4.6640625" style="441" customWidth="1"/>
    <col min="15382" max="15382" width="8.109375" style="441" customWidth="1"/>
    <col min="15383" max="15383" width="10.88671875" style="441" customWidth="1"/>
    <col min="15384" max="15384" width="6.44140625" style="441" customWidth="1"/>
    <col min="15385" max="15385" width="7.44140625" style="441" customWidth="1"/>
    <col min="15386" max="15386" width="5.88671875" style="441" customWidth="1"/>
    <col min="15387" max="15387" width="6.44140625" style="441" customWidth="1"/>
    <col min="15388" max="15388" width="5.88671875" style="441" customWidth="1"/>
    <col min="15389" max="15389" width="5.109375" style="441" customWidth="1"/>
    <col min="15390" max="15390" width="12.88671875" style="441" customWidth="1"/>
    <col min="15391" max="15391" width="15" style="441" customWidth="1"/>
    <col min="15392" max="15392" width="20.6640625" style="441" customWidth="1"/>
    <col min="15393" max="15393" width="23.6640625" style="441" customWidth="1"/>
    <col min="15394" max="15394" width="5.44140625" style="441" customWidth="1"/>
    <col min="15395" max="15627" width="11.44140625" style="441"/>
    <col min="15628" max="15628" width="6" style="441" customWidth="1"/>
    <col min="15629" max="15629" width="15.6640625" style="441" customWidth="1"/>
    <col min="15630" max="15631" width="13.109375" style="441" customWidth="1"/>
    <col min="15632" max="15632" width="6.44140625" style="441" customWidth="1"/>
    <col min="15633" max="15633" width="6.6640625" style="441" customWidth="1"/>
    <col min="15634" max="15634" width="5" style="441" customWidth="1"/>
    <col min="15635" max="15635" width="5.6640625" style="441" customWidth="1"/>
    <col min="15636" max="15636" width="5.109375" style="441" customWidth="1"/>
    <col min="15637" max="15637" width="4.6640625" style="441" customWidth="1"/>
    <col min="15638" max="15638" width="8.109375" style="441" customWidth="1"/>
    <col min="15639" max="15639" width="10.88671875" style="441" customWidth="1"/>
    <col min="15640" max="15640" width="6.44140625" style="441" customWidth="1"/>
    <col min="15641" max="15641" width="7.44140625" style="441" customWidth="1"/>
    <col min="15642" max="15642" width="5.88671875" style="441" customWidth="1"/>
    <col min="15643" max="15643" width="6.44140625" style="441" customWidth="1"/>
    <col min="15644" max="15644" width="5.88671875" style="441" customWidth="1"/>
    <col min="15645" max="15645" width="5.109375" style="441" customWidth="1"/>
    <col min="15646" max="15646" width="12.88671875" style="441" customWidth="1"/>
    <col min="15647" max="15647" width="15" style="441" customWidth="1"/>
    <col min="15648" max="15648" width="20.6640625" style="441" customWidth="1"/>
    <col min="15649" max="15649" width="23.6640625" style="441" customWidth="1"/>
    <col min="15650" max="15650" width="5.44140625" style="441" customWidth="1"/>
    <col min="15651" max="15883" width="11.44140625" style="441"/>
    <col min="15884" max="15884" width="6" style="441" customWidth="1"/>
    <col min="15885" max="15885" width="15.6640625" style="441" customWidth="1"/>
    <col min="15886" max="15887" width="13.109375" style="441" customWidth="1"/>
    <col min="15888" max="15888" width="6.44140625" style="441" customWidth="1"/>
    <col min="15889" max="15889" width="6.6640625" style="441" customWidth="1"/>
    <col min="15890" max="15890" width="5" style="441" customWidth="1"/>
    <col min="15891" max="15891" width="5.6640625" style="441" customWidth="1"/>
    <col min="15892" max="15892" width="5.109375" style="441" customWidth="1"/>
    <col min="15893" max="15893" width="4.6640625" style="441" customWidth="1"/>
    <col min="15894" max="15894" width="8.109375" style="441" customWidth="1"/>
    <col min="15895" max="15895" width="10.88671875" style="441" customWidth="1"/>
    <col min="15896" max="15896" width="6.44140625" style="441" customWidth="1"/>
    <col min="15897" max="15897" width="7.44140625" style="441" customWidth="1"/>
    <col min="15898" max="15898" width="5.88671875" style="441" customWidth="1"/>
    <col min="15899" max="15899" width="6.44140625" style="441" customWidth="1"/>
    <col min="15900" max="15900" width="5.88671875" style="441" customWidth="1"/>
    <col min="15901" max="15901" width="5.109375" style="441" customWidth="1"/>
    <col min="15902" max="15902" width="12.88671875" style="441" customWidth="1"/>
    <col min="15903" max="15903" width="15" style="441" customWidth="1"/>
    <col min="15904" max="15904" width="20.6640625" style="441" customWidth="1"/>
    <col min="15905" max="15905" width="23.6640625" style="441" customWidth="1"/>
    <col min="15906" max="15906" width="5.44140625" style="441" customWidth="1"/>
    <col min="15907" max="16139" width="11.44140625" style="441"/>
    <col min="16140" max="16140" width="6" style="441" customWidth="1"/>
    <col min="16141" max="16141" width="15.6640625" style="441" customWidth="1"/>
    <col min="16142" max="16143" width="13.109375" style="441" customWidth="1"/>
    <col min="16144" max="16144" width="6.44140625" style="441" customWidth="1"/>
    <col min="16145" max="16145" width="6.6640625" style="441" customWidth="1"/>
    <col min="16146" max="16146" width="5" style="441" customWidth="1"/>
    <col min="16147" max="16147" width="5.6640625" style="441" customWidth="1"/>
    <col min="16148" max="16148" width="5.109375" style="441" customWidth="1"/>
    <col min="16149" max="16149" width="4.6640625" style="441" customWidth="1"/>
    <col min="16150" max="16150" width="8.109375" style="441" customWidth="1"/>
    <col min="16151" max="16151" width="10.88671875" style="441" customWidth="1"/>
    <col min="16152" max="16152" width="6.44140625" style="441" customWidth="1"/>
    <col min="16153" max="16153" width="7.44140625" style="441" customWidth="1"/>
    <col min="16154" max="16154" width="5.88671875" style="441" customWidth="1"/>
    <col min="16155" max="16155" width="6.44140625" style="441" customWidth="1"/>
    <col min="16156" max="16156" width="5.88671875" style="441" customWidth="1"/>
    <col min="16157" max="16157" width="5.109375" style="441" customWidth="1"/>
    <col min="16158" max="16158" width="12.88671875" style="441" customWidth="1"/>
    <col min="16159" max="16159" width="15" style="441" customWidth="1"/>
    <col min="16160" max="16160" width="20.6640625" style="441" customWidth="1"/>
    <col min="16161" max="16161" width="23.6640625" style="441" customWidth="1"/>
    <col min="16162" max="16162" width="5.44140625" style="441" customWidth="1"/>
    <col min="16163" max="16384" width="11.44140625" style="441"/>
  </cols>
  <sheetData>
    <row r="1" spans="1:42" s="433" customFormat="1" ht="31.8" customHeight="1" thickBot="1" x14ac:dyDescent="0.4">
      <c r="D1" s="501"/>
      <c r="E1" s="502"/>
      <c r="F1" s="502"/>
      <c r="G1" s="502"/>
      <c r="H1" s="502"/>
      <c r="I1" s="502"/>
      <c r="J1" s="502"/>
      <c r="K1" s="503"/>
      <c r="L1" s="503"/>
      <c r="M1" s="503"/>
      <c r="N1" s="503"/>
      <c r="O1" s="503"/>
      <c r="P1" s="503"/>
      <c r="Q1" s="503"/>
      <c r="R1" s="503"/>
      <c r="S1" s="503"/>
      <c r="T1" s="503"/>
      <c r="U1" s="503"/>
      <c r="V1" s="503"/>
      <c r="W1" s="503"/>
      <c r="X1" s="503"/>
      <c r="Y1" s="503"/>
      <c r="Z1" s="503"/>
      <c r="AA1" s="503"/>
      <c r="AB1" s="503"/>
      <c r="AC1" s="503"/>
      <c r="AD1" s="503"/>
      <c r="AE1" s="503"/>
      <c r="AF1" s="510" t="s">
        <v>819</v>
      </c>
      <c r="AG1" s="511">
        <f>INFO!B6</f>
        <v>0</v>
      </c>
      <c r="AH1" s="558"/>
      <c r="AK1" s="434"/>
      <c r="AN1" s="435"/>
    </row>
    <row r="2" spans="1:42" s="436" customFormat="1" ht="31.8" customHeight="1" thickBot="1" x14ac:dyDescent="0.35">
      <c r="D2" s="504"/>
      <c r="E2" s="437"/>
      <c r="F2" s="437"/>
      <c r="G2" s="437"/>
      <c r="H2" s="437"/>
      <c r="I2" s="437"/>
      <c r="J2" s="437"/>
      <c r="K2" s="505"/>
      <c r="L2" s="505"/>
      <c r="M2" s="505"/>
      <c r="N2" s="505"/>
      <c r="O2" s="505"/>
      <c r="P2" s="505"/>
      <c r="Q2" s="505"/>
      <c r="R2" s="505"/>
      <c r="S2" s="505"/>
      <c r="T2" s="505"/>
      <c r="U2" s="505"/>
      <c r="V2" s="505"/>
      <c r="W2" s="505"/>
      <c r="X2" s="505"/>
      <c r="Y2" s="505"/>
      <c r="Z2" s="505"/>
      <c r="AA2" s="505"/>
      <c r="AB2" s="505"/>
      <c r="AC2" s="505"/>
      <c r="AD2" s="505"/>
      <c r="AE2" s="505"/>
      <c r="AF2" s="510" t="s">
        <v>47</v>
      </c>
      <c r="AG2" s="512">
        <f>INFO!B16</f>
        <v>0</v>
      </c>
      <c r="AH2" s="492"/>
      <c r="AL2" s="433"/>
      <c r="AM2" s="433"/>
      <c r="AO2" s="433"/>
      <c r="AP2" s="433"/>
    </row>
    <row r="3" spans="1:42" s="436" customFormat="1" ht="31.8" customHeight="1" thickBot="1" x14ac:dyDescent="0.35">
      <c r="D3" s="504"/>
      <c r="E3" s="437"/>
      <c r="F3" s="437"/>
      <c r="G3" s="437"/>
      <c r="H3" s="437"/>
      <c r="I3" s="437"/>
      <c r="J3" s="437"/>
      <c r="K3" s="505"/>
      <c r="L3" s="505"/>
      <c r="M3" s="505"/>
      <c r="N3" s="505"/>
      <c r="O3" s="505"/>
      <c r="P3" s="505"/>
      <c r="Q3" s="505"/>
      <c r="R3" s="505"/>
      <c r="S3" s="505"/>
      <c r="T3" s="505"/>
      <c r="U3" s="505"/>
      <c r="V3" s="505"/>
      <c r="W3" s="505"/>
      <c r="X3" s="505"/>
      <c r="Y3" s="505"/>
      <c r="Z3" s="505"/>
      <c r="AA3" s="505"/>
      <c r="AB3" s="505"/>
      <c r="AC3" s="505"/>
      <c r="AD3" s="505"/>
      <c r="AE3" s="505"/>
      <c r="AF3" s="510" t="s">
        <v>820</v>
      </c>
      <c r="AG3" s="512" t="str">
        <f>INFO!B14</f>
        <v>Cervejaria da Bahia</v>
      </c>
      <c r="AH3" s="492"/>
      <c r="AL3" s="433"/>
      <c r="AM3" s="433"/>
      <c r="AO3" s="433"/>
      <c r="AP3" s="433"/>
    </row>
    <row r="4" spans="1:42" s="436" customFormat="1" ht="31.8" customHeight="1" thickBot="1" x14ac:dyDescent="0.35">
      <c r="D4" s="504"/>
      <c r="E4" s="437"/>
      <c r="F4" s="437"/>
      <c r="G4" s="437"/>
      <c r="H4" s="437"/>
      <c r="I4" s="437"/>
      <c r="J4" s="437"/>
      <c r="K4" s="505"/>
      <c r="L4" s="505"/>
      <c r="M4" s="505"/>
      <c r="N4" s="505"/>
      <c r="O4" s="505"/>
      <c r="P4" s="505"/>
      <c r="Q4" s="505"/>
      <c r="R4" s="505"/>
      <c r="S4" s="505"/>
      <c r="T4" s="505"/>
      <c r="U4" s="505"/>
      <c r="V4" s="505"/>
      <c r="W4" s="505"/>
      <c r="X4" s="505"/>
      <c r="Y4" s="505"/>
      <c r="Z4" s="505"/>
      <c r="AA4" s="505"/>
      <c r="AB4" s="505"/>
      <c r="AC4" s="505"/>
      <c r="AD4" s="505"/>
      <c r="AE4" s="505"/>
      <c r="AF4" s="510" t="s">
        <v>570</v>
      </c>
      <c r="AG4" s="513">
        <f>INFO!B26</f>
        <v>45628</v>
      </c>
      <c r="AH4" s="559"/>
      <c r="AL4" s="433"/>
      <c r="AM4" s="433"/>
      <c r="AO4" s="433"/>
      <c r="AP4" s="433"/>
    </row>
    <row r="5" spans="1:42" s="436" customFormat="1" ht="31.8" customHeight="1" thickBot="1" x14ac:dyDescent="0.35">
      <c r="D5" s="504"/>
      <c r="E5" s="437"/>
      <c r="F5" s="437"/>
      <c r="G5" s="437"/>
      <c r="H5" s="437"/>
      <c r="I5" s="437"/>
      <c r="J5" s="437"/>
      <c r="K5" s="505"/>
      <c r="L5" s="505"/>
      <c r="M5" s="505"/>
      <c r="N5" s="505"/>
      <c r="O5" s="505"/>
      <c r="P5" s="505"/>
      <c r="Q5" s="505"/>
      <c r="R5" s="505"/>
      <c r="S5" s="505"/>
      <c r="T5" s="505"/>
      <c r="U5" s="505"/>
      <c r="V5" s="505"/>
      <c r="W5" s="505"/>
      <c r="X5" s="505"/>
      <c r="Y5" s="505"/>
      <c r="Z5" s="505"/>
      <c r="AA5" s="505"/>
      <c r="AB5" s="505"/>
      <c r="AC5" s="505"/>
      <c r="AD5" s="505"/>
      <c r="AE5" s="505"/>
      <c r="AF5" s="510" t="s">
        <v>858</v>
      </c>
      <c r="AG5" s="512" t="str">
        <f>INFO!B24</f>
        <v>RODRIGO</v>
      </c>
      <c r="AH5" s="492"/>
      <c r="AL5" s="433"/>
      <c r="AM5" s="433"/>
      <c r="AO5" s="433"/>
      <c r="AP5" s="433"/>
    </row>
    <row r="6" spans="1:42" s="436" customFormat="1" ht="32.4" customHeight="1" thickBot="1" x14ac:dyDescent="0.35">
      <c r="D6" s="1013" t="s">
        <v>834</v>
      </c>
      <c r="E6" s="1014"/>
      <c r="F6" s="1014"/>
      <c r="G6" s="1014"/>
      <c r="H6" s="1014"/>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5"/>
      <c r="AH6" s="561"/>
      <c r="AL6" s="433"/>
      <c r="AM6" s="433"/>
      <c r="AO6" s="433"/>
      <c r="AP6" s="433"/>
    </row>
    <row r="7" spans="1:42" s="440" customFormat="1" ht="55.2" customHeight="1" thickTop="1" thickBot="1" x14ac:dyDescent="0.25">
      <c r="A7" s="484"/>
      <c r="B7" s="508"/>
      <c r="C7" s="508"/>
      <c r="D7" s="1016" t="s">
        <v>798</v>
      </c>
      <c r="E7" s="1016"/>
      <c r="F7" s="1016"/>
      <c r="G7" s="1016"/>
      <c r="H7" s="1016"/>
      <c r="I7" s="1016"/>
      <c r="J7" s="1016"/>
      <c r="K7" s="1016"/>
      <c r="L7" s="1016"/>
      <c r="M7" s="1016"/>
      <c r="N7" s="1016"/>
      <c r="O7" s="1016"/>
      <c r="P7" s="1016"/>
      <c r="Q7" s="1016"/>
      <c r="R7" s="1016" t="s">
        <v>4</v>
      </c>
      <c r="S7" s="1016"/>
      <c r="T7" s="1016"/>
      <c r="U7" s="1016"/>
      <c r="V7" s="1016"/>
      <c r="W7" s="1016"/>
      <c r="X7" s="1016" t="s">
        <v>740</v>
      </c>
      <c r="Y7" s="1016"/>
      <c r="Z7" s="1016"/>
      <c r="AA7" s="1016"/>
      <c r="AB7" s="1016"/>
      <c r="AC7" s="1017" t="s">
        <v>741</v>
      </c>
      <c r="AD7" s="1018"/>
      <c r="AE7" s="1018"/>
      <c r="AF7" s="1018"/>
      <c r="AG7" s="1019"/>
      <c r="AH7" s="562"/>
    </row>
    <row r="8" spans="1:42" s="440" customFormat="1" ht="39" customHeight="1" thickTop="1" thickBot="1" x14ac:dyDescent="0.25">
      <c r="B8" s="440" t="s">
        <v>744</v>
      </c>
      <c r="C8" s="440" t="s">
        <v>821</v>
      </c>
      <c r="D8" s="488" t="s">
        <v>0</v>
      </c>
      <c r="E8" s="488" t="s">
        <v>47</v>
      </c>
      <c r="F8" s="488" t="s">
        <v>326</v>
      </c>
      <c r="G8" s="488" t="s">
        <v>861</v>
      </c>
      <c r="H8" s="488" t="s">
        <v>1</v>
      </c>
      <c r="I8" s="488" t="s">
        <v>744</v>
      </c>
      <c r="J8" s="488" t="s">
        <v>745</v>
      </c>
      <c r="K8" s="488" t="s">
        <v>2</v>
      </c>
      <c r="L8" s="488" t="s">
        <v>3</v>
      </c>
      <c r="M8" s="488" t="s">
        <v>818</v>
      </c>
      <c r="N8" s="488" t="s">
        <v>743</v>
      </c>
      <c r="O8" s="489" t="s">
        <v>602</v>
      </c>
      <c r="P8" s="489" t="s">
        <v>732</v>
      </c>
      <c r="Q8" s="489" t="s">
        <v>733</v>
      </c>
      <c r="R8" s="488" t="s">
        <v>11</v>
      </c>
      <c r="S8" s="488" t="s">
        <v>330</v>
      </c>
      <c r="T8" s="488" t="s">
        <v>12</v>
      </c>
      <c r="U8" s="488" t="s">
        <v>13</v>
      </c>
      <c r="V8" s="488" t="s">
        <v>14</v>
      </c>
      <c r="W8" s="488" t="s">
        <v>15</v>
      </c>
      <c r="X8" s="496" t="s">
        <v>734</v>
      </c>
      <c r="Y8" s="496" t="s">
        <v>735</v>
      </c>
      <c r="Z8" s="496" t="s">
        <v>736</v>
      </c>
      <c r="AA8" s="496" t="s">
        <v>737</v>
      </c>
      <c r="AB8" s="497" t="s">
        <v>397</v>
      </c>
      <c r="AC8" s="496" t="s">
        <v>589</v>
      </c>
      <c r="AD8" s="496" t="s">
        <v>738</v>
      </c>
      <c r="AE8" s="496" t="s">
        <v>742</v>
      </c>
      <c r="AF8" s="496" t="s">
        <v>739</v>
      </c>
      <c r="AG8" s="496" t="s">
        <v>710</v>
      </c>
      <c r="AH8" s="563"/>
    </row>
    <row r="9" spans="1:42" s="482" customFormat="1" ht="51.6" customHeight="1" x14ac:dyDescent="0.2">
      <c r="B9" s="509">
        <f>IFERROR(VLOOKUP(I9,'base dados'!$K$2:$L$3,2,FALSE),0)</f>
        <v>0</v>
      </c>
      <c r="C9" s="509">
        <f>IFERROR(VLOOKUP(J9,'base dados'!$M$2:$N$5,2,FALSE),0)</f>
        <v>0</v>
      </c>
      <c r="D9" s="514">
        <f>ROW(A1)</f>
        <v>1</v>
      </c>
      <c r="E9" s="486" t="s">
        <v>928</v>
      </c>
      <c r="F9" s="438"/>
      <c r="G9" s="486" t="s">
        <v>862</v>
      </c>
      <c r="H9" s="485" t="s">
        <v>936</v>
      </c>
      <c r="I9" s="481"/>
      <c r="J9" s="487" t="s">
        <v>865</v>
      </c>
      <c r="K9" s="485"/>
      <c r="L9" s="485"/>
      <c r="M9" s="485"/>
      <c r="N9" s="485" t="s">
        <v>752</v>
      </c>
      <c r="O9" s="500" t="str">
        <f>IFERROR(VLOOKUP(J9,'base dados'!$B$2:$E$13,4,FALSE),"")</f>
        <v>ARMAFLEX</v>
      </c>
      <c r="P9" s="670">
        <v>1.5</v>
      </c>
      <c r="Q9" s="438">
        <v>50</v>
      </c>
      <c r="R9" s="438">
        <v>24</v>
      </c>
      <c r="S9" s="438"/>
      <c r="T9" s="438"/>
      <c r="U9" s="438"/>
      <c r="V9" s="438"/>
      <c r="W9" s="493"/>
      <c r="X9" s="500">
        <f>R9+(S9*2)+(U9*1.5)+(T9*1.5)+(V9*2.5)+(W9*1.5)</f>
        <v>24</v>
      </c>
      <c r="Y9" s="500" t="str">
        <f t="shared" ref="Y9:Y71" si="0">P9&amp;" X "&amp;Q9</f>
        <v>1,5 X 50</v>
      </c>
      <c r="Z9" s="500">
        <f>IFERROR(VLOOKUP(Y9,PID!$A$4:$B$247,2,FALSE),0)</f>
        <v>0.5</v>
      </c>
      <c r="AA9" s="515">
        <f t="shared" ref="AA9:AA71" si="1">ROUNDDOWN(X9*Z9,3)</f>
        <v>12</v>
      </c>
      <c r="AB9" s="515">
        <f t="shared" ref="AB9:AB71" si="2">AA9*(Q9/1000)</f>
        <v>0.60000000000000009</v>
      </c>
      <c r="AC9" s="498">
        <f>IFERROR(VLOOKUP(I9,'base dados'!$B$2:$D$49,2,FALSE),0)</f>
        <v>0</v>
      </c>
      <c r="AD9" s="498">
        <f>AC9*AB9</f>
        <v>0</v>
      </c>
      <c r="AE9" s="498">
        <f>IFERROR(VLOOKUP(J9,'base dados'!$B$2:$D$49,2,FALSE),0)*AJ9</f>
        <v>6948.06</v>
      </c>
      <c r="AF9" s="498">
        <f>AE9*AB9</f>
        <v>4168.8360000000011</v>
      </c>
      <c r="AG9" s="499">
        <f t="shared" ref="AG9:AG71" si="3">AF9+AD9</f>
        <v>4168.8360000000011</v>
      </c>
      <c r="AH9" s="564">
        <v>1</v>
      </c>
      <c r="AJ9" s="509">
        <v>1</v>
      </c>
      <c r="AK9" s="482">
        <f t="shared" ref="AK9:AK20" si="4">AJ9*AA9</f>
        <v>12</v>
      </c>
    </row>
    <row r="10" spans="1:42" s="482" customFormat="1" ht="51.6" customHeight="1" x14ac:dyDescent="0.2">
      <c r="B10" s="509">
        <f>IFERROR(VLOOKUP(I10,'base dados'!$K$2:$L$3,2,FALSE),0)</f>
        <v>0</v>
      </c>
      <c r="C10" s="509">
        <f>IFERROR(VLOOKUP(J10,'base dados'!$M$2:$N$5,2,FALSE),0)</f>
        <v>0</v>
      </c>
      <c r="D10" s="514">
        <f>ROW(A2)</f>
        <v>2</v>
      </c>
      <c r="E10" s="486" t="s">
        <v>928</v>
      </c>
      <c r="F10" s="438"/>
      <c r="G10" s="486" t="s">
        <v>862</v>
      </c>
      <c r="H10" s="485" t="s">
        <v>937</v>
      </c>
      <c r="I10" s="481"/>
      <c r="J10" s="487" t="s">
        <v>930</v>
      </c>
      <c r="K10" s="438"/>
      <c r="L10" s="465"/>
      <c r="M10" s="438"/>
      <c r="N10" s="485" t="s">
        <v>752</v>
      </c>
      <c r="O10" s="500" t="str">
        <f>IFERROR(VLOOKUP(J10,'base dados'!$B$2:$E$14,4,FALSE),"")</f>
        <v>ARMAFLEX</v>
      </c>
      <c r="P10" s="670">
        <v>2</v>
      </c>
      <c r="Q10" s="438">
        <v>50</v>
      </c>
      <c r="R10" s="438">
        <v>96</v>
      </c>
      <c r="S10" s="438"/>
      <c r="T10" s="438"/>
      <c r="U10" s="438"/>
      <c r="V10" s="438"/>
      <c r="W10" s="493"/>
      <c r="X10" s="500">
        <f t="shared" ref="X10:X72" si="5">R10+(S10*2)+(U10*1.5)+(T10*1.5)+(V10*2.5)+(W10*1.5)</f>
        <v>96</v>
      </c>
      <c r="Y10" s="500" t="str">
        <f t="shared" si="0"/>
        <v>2 X 50</v>
      </c>
      <c r="Z10" s="500">
        <f>IFERROR(VLOOKUP(Y10,PID!$A$4:$B$247,2,FALSE),0)</f>
        <v>0.54</v>
      </c>
      <c r="AA10" s="515">
        <f t="shared" si="1"/>
        <v>51.84</v>
      </c>
      <c r="AB10" s="515">
        <f t="shared" si="2"/>
        <v>2.5920000000000005</v>
      </c>
      <c r="AC10" s="498">
        <f>IFERROR(VLOOKUP(I10,'base dados'!$B$2:$D$49,2,FALSE),0)</f>
        <v>0</v>
      </c>
      <c r="AD10" s="498">
        <f t="shared" ref="AD10:AD18" si="6">AC10*AB10</f>
        <v>0</v>
      </c>
      <c r="AE10" s="498">
        <f>IFERROR(VLOOKUP(J10,'base dados'!$B$2:$D$49,2,FALSE),0)*AJ10</f>
        <v>8512.06</v>
      </c>
      <c r="AF10" s="498">
        <f t="shared" ref="AF10:AF72" si="7">AE10*AB10</f>
        <v>22063.259520000003</v>
      </c>
      <c r="AG10" s="499">
        <f t="shared" si="3"/>
        <v>22063.259520000003</v>
      </c>
      <c r="AH10" s="564">
        <v>1</v>
      </c>
      <c r="AJ10" s="509">
        <v>1</v>
      </c>
      <c r="AK10" s="482">
        <f t="shared" si="4"/>
        <v>51.84</v>
      </c>
    </row>
    <row r="11" spans="1:42" s="482" customFormat="1" ht="51.6" customHeight="1" x14ac:dyDescent="0.2">
      <c r="B11" s="509">
        <f>IFERROR(VLOOKUP(I11,'base dados'!$K$2:$L$3,2,FALSE),0)</f>
        <v>0</v>
      </c>
      <c r="C11" s="509">
        <f>IFERROR(VLOOKUP(J11,'base dados'!$M$2:$N$5,2,FALSE),0)</f>
        <v>0</v>
      </c>
      <c r="D11" s="514">
        <f>ROW(A3)</f>
        <v>3</v>
      </c>
      <c r="E11" s="486" t="s">
        <v>928</v>
      </c>
      <c r="F11" s="438"/>
      <c r="G11" s="486" t="s">
        <v>862</v>
      </c>
      <c r="H11" s="485" t="s">
        <v>929</v>
      </c>
      <c r="I11" s="481"/>
      <c r="J11" s="487" t="s">
        <v>930</v>
      </c>
      <c r="K11" s="438"/>
      <c r="L11" s="465"/>
      <c r="M11" s="438"/>
      <c r="N11" s="485" t="s">
        <v>752</v>
      </c>
      <c r="O11" s="500" t="str">
        <f>IFERROR(VLOOKUP(J11,'base dados'!$B$2:$E$14,4,FALSE),"")</f>
        <v>ARMAFLEX</v>
      </c>
      <c r="P11" s="438">
        <v>4</v>
      </c>
      <c r="Q11" s="438">
        <v>50</v>
      </c>
      <c r="R11" s="438">
        <v>191</v>
      </c>
      <c r="S11" s="438"/>
      <c r="T11" s="438"/>
      <c r="U11" s="438"/>
      <c r="V11" s="438"/>
      <c r="W11" s="493"/>
      <c r="X11" s="500">
        <f>R11+(S11*2)+(U11*1.5)+(T11*1.5)+(V11*2.5)+(W11*1.5)</f>
        <v>191</v>
      </c>
      <c r="Y11" s="500" t="str">
        <f t="shared" si="0"/>
        <v>4 X 50</v>
      </c>
      <c r="Z11" s="500">
        <f>IFERROR(VLOOKUP(Y11,PID!$A$4:$B$247,2,FALSE),0)</f>
        <v>0.71</v>
      </c>
      <c r="AA11" s="515">
        <f t="shared" si="1"/>
        <v>135.61000000000001</v>
      </c>
      <c r="AB11" s="515">
        <f t="shared" si="2"/>
        <v>6.7805000000000009</v>
      </c>
      <c r="AC11" s="498">
        <f>IFERROR(VLOOKUP(I11,'base dados'!$B$2:$D$49,2,FALSE),0)</f>
        <v>0</v>
      </c>
      <c r="AD11" s="498">
        <f t="shared" si="6"/>
        <v>0</v>
      </c>
      <c r="AE11" s="498">
        <f>IFERROR(VLOOKUP(J11,'base dados'!$B$2:$D$49,2,FALSE),0)*AJ11</f>
        <v>8512.06</v>
      </c>
      <c r="AF11" s="498">
        <f t="shared" si="7"/>
        <v>57716.022830000002</v>
      </c>
      <c r="AG11" s="499">
        <f t="shared" si="3"/>
        <v>57716.022830000002</v>
      </c>
      <c r="AH11" s="564">
        <v>1</v>
      </c>
      <c r="AJ11" s="509">
        <v>1</v>
      </c>
      <c r="AK11" s="482">
        <f t="shared" si="4"/>
        <v>135.61000000000001</v>
      </c>
    </row>
    <row r="12" spans="1:42" s="482" customFormat="1" ht="51.6" customHeight="1" x14ac:dyDescent="0.2">
      <c r="B12" s="509">
        <f>IFERROR(VLOOKUP(I12,'base dados'!$K$2:$L$3,2,FALSE),0)</f>
        <v>0</v>
      </c>
      <c r="C12" s="509">
        <f>IFERROR(VLOOKUP(J12,'base dados'!$M$2:$N$5,2,FALSE),0)</f>
        <v>0</v>
      </c>
      <c r="D12" s="514">
        <f>ROW(A4)</f>
        <v>4</v>
      </c>
      <c r="E12" s="486" t="s">
        <v>928</v>
      </c>
      <c r="F12" s="438"/>
      <c r="G12" s="486" t="s">
        <v>862</v>
      </c>
      <c r="H12" s="485" t="s">
        <v>942</v>
      </c>
      <c r="I12" s="481"/>
      <c r="J12" s="487" t="s">
        <v>930</v>
      </c>
      <c r="K12" s="438"/>
      <c r="L12" s="465"/>
      <c r="M12" s="438"/>
      <c r="N12" s="485" t="s">
        <v>752</v>
      </c>
      <c r="O12" s="500" t="str">
        <f>IFERROR(VLOOKUP(J12,'base dados'!$B$2:$E$14,4,FALSE),"")</f>
        <v>ARMAFLEX</v>
      </c>
      <c r="P12" s="438">
        <v>4</v>
      </c>
      <c r="Q12" s="438">
        <v>50</v>
      </c>
      <c r="R12" s="466">
        <v>123.94366197183</v>
      </c>
      <c r="S12" s="438"/>
      <c r="T12" s="438"/>
      <c r="U12" s="438"/>
      <c r="V12" s="438"/>
      <c r="W12" s="493"/>
      <c r="X12" s="500">
        <f t="shared" si="5"/>
        <v>123.94366197183</v>
      </c>
      <c r="Y12" s="500" t="str">
        <f t="shared" si="0"/>
        <v>4 X 50</v>
      </c>
      <c r="Z12" s="500">
        <f>IFERROR(VLOOKUP(Y12,PID!$A$4:$B$247,2,FALSE),0)</f>
        <v>0.71</v>
      </c>
      <c r="AA12" s="515">
        <f t="shared" si="1"/>
        <v>87.998999999999995</v>
      </c>
      <c r="AB12" s="515">
        <f t="shared" si="2"/>
        <v>4.3999499999999996</v>
      </c>
      <c r="AC12" s="498">
        <f>IFERROR(VLOOKUP(I12,'base dados'!$B$2:$D$49,2,FALSE),0)</f>
        <v>0</v>
      </c>
      <c r="AD12" s="498">
        <f t="shared" si="6"/>
        <v>0</v>
      </c>
      <c r="AE12" s="498">
        <f>IFERROR(VLOOKUP(J12,'base dados'!$B$2:$D$49,2,FALSE),0)*AJ12</f>
        <v>8512.06</v>
      </c>
      <c r="AF12" s="498">
        <f t="shared" si="7"/>
        <v>37452.638396999995</v>
      </c>
      <c r="AG12" s="499">
        <f t="shared" si="3"/>
        <v>37452.638396999995</v>
      </c>
      <c r="AH12" s="564">
        <v>1</v>
      </c>
      <c r="AJ12" s="509">
        <v>1</v>
      </c>
      <c r="AK12" s="482">
        <f t="shared" si="4"/>
        <v>87.998999999999995</v>
      </c>
    </row>
    <row r="13" spans="1:42" s="482" customFormat="1" ht="49.8" customHeight="1" x14ac:dyDescent="0.2">
      <c r="B13" s="509">
        <f>IFERROR(VLOOKUP(I13,'base dados'!$K$2:$L$3,2,FALSE),0)</f>
        <v>0</v>
      </c>
      <c r="C13" s="509">
        <f>IFERROR(VLOOKUP(J13,'base dados'!$M$2:$N$5,2,FALSE),0)</f>
        <v>50</v>
      </c>
      <c r="D13" s="514">
        <f t="shared" ref="D13:D75" si="8">ROW()-8</f>
        <v>5</v>
      </c>
      <c r="E13" s="486" t="s">
        <v>928</v>
      </c>
      <c r="F13" s="438"/>
      <c r="G13" s="486" t="s">
        <v>862</v>
      </c>
      <c r="H13" s="485" t="s">
        <v>940</v>
      </c>
      <c r="I13" s="481"/>
      <c r="J13" s="487" t="s">
        <v>752</v>
      </c>
      <c r="K13" s="438"/>
      <c r="L13" s="465"/>
      <c r="M13" s="438"/>
      <c r="N13" s="485" t="s">
        <v>752</v>
      </c>
      <c r="O13" s="500" t="str">
        <f>IFERROR(VLOOKUP(J13,'base dados'!$B$2:$E$13,4,FALSE),"")</f>
        <v>FC</v>
      </c>
      <c r="P13" s="670">
        <v>0.5</v>
      </c>
      <c r="Q13" s="438">
        <v>50</v>
      </c>
      <c r="R13" s="438">
        <v>5</v>
      </c>
      <c r="S13" s="438"/>
      <c r="T13" s="438"/>
      <c r="U13" s="438"/>
      <c r="V13" s="438"/>
      <c r="W13" s="493"/>
      <c r="X13" s="500">
        <f t="shared" si="5"/>
        <v>5</v>
      </c>
      <c r="Y13" s="500" t="str">
        <f t="shared" si="0"/>
        <v>0,5 X 50</v>
      </c>
      <c r="Z13" s="500">
        <f>IFERROR(VLOOKUP(Y13,PID!$A$4:$B$247,2,FALSE),0)</f>
        <v>0.41</v>
      </c>
      <c r="AA13" s="515">
        <f t="shared" si="1"/>
        <v>2.0499999999999998</v>
      </c>
      <c r="AB13" s="515">
        <f t="shared" si="2"/>
        <v>0.10249999999999999</v>
      </c>
      <c r="AC13" s="498">
        <f>IFERROR(VLOOKUP(I13,'base dados'!$B$2:$D$49,2,FALSE),0)</f>
        <v>0</v>
      </c>
      <c r="AD13" s="498">
        <f t="shared" si="6"/>
        <v>0</v>
      </c>
      <c r="AE13" s="498">
        <f>IFERROR(VLOOKUP(J13,'base dados'!$B$2:$D$49,2,FALSE),0)*AJ13</f>
        <v>6898.8</v>
      </c>
      <c r="AF13" s="498">
        <f t="shared" si="7"/>
        <v>707.12699999999995</v>
      </c>
      <c r="AG13" s="499">
        <f t="shared" si="3"/>
        <v>707.12699999999995</v>
      </c>
      <c r="AH13" s="564">
        <v>1</v>
      </c>
      <c r="AJ13" s="509">
        <v>1</v>
      </c>
      <c r="AK13" s="482">
        <f t="shared" si="4"/>
        <v>2.0499999999999998</v>
      </c>
    </row>
    <row r="14" spans="1:42" s="482" customFormat="1" ht="51.6" customHeight="1" x14ac:dyDescent="0.2">
      <c r="B14" s="509">
        <f>IFERROR(VLOOKUP(I14,'base dados'!$K$2:$L$3,2,FALSE),0)</f>
        <v>0</v>
      </c>
      <c r="C14" s="509">
        <f>IFERROR(VLOOKUP(J14,'base dados'!$M$2:$N$5,2,FALSE),0)</f>
        <v>50</v>
      </c>
      <c r="D14" s="514">
        <f>ROW(A6)</f>
        <v>6</v>
      </c>
      <c r="E14" s="486" t="s">
        <v>928</v>
      </c>
      <c r="F14" s="438"/>
      <c r="G14" s="486" t="s">
        <v>862</v>
      </c>
      <c r="H14" s="485" t="s">
        <v>940</v>
      </c>
      <c r="I14" s="481"/>
      <c r="J14" s="487" t="s">
        <v>752</v>
      </c>
      <c r="K14" s="438"/>
      <c r="L14" s="465"/>
      <c r="M14" s="438"/>
      <c r="N14" s="485" t="s">
        <v>752</v>
      </c>
      <c r="O14" s="500" t="str">
        <f>IFERROR(VLOOKUP(J14,'base dados'!$B$2:$E$13,4,FALSE),"")</f>
        <v>FC</v>
      </c>
      <c r="P14" s="670">
        <v>0.75</v>
      </c>
      <c r="Q14" s="438">
        <v>50</v>
      </c>
      <c r="R14" s="438">
        <v>6</v>
      </c>
      <c r="S14" s="438"/>
      <c r="T14" s="438"/>
      <c r="U14" s="438"/>
      <c r="V14" s="438"/>
      <c r="W14" s="493"/>
      <c r="X14" s="500">
        <f t="shared" si="5"/>
        <v>6</v>
      </c>
      <c r="Y14" s="500" t="str">
        <f t="shared" si="0"/>
        <v>0,75 X 50</v>
      </c>
      <c r="Z14" s="500">
        <f>IFERROR(VLOOKUP(Y14,PID!$A$4:$B$247,2,FALSE),0)</f>
        <v>0.43</v>
      </c>
      <c r="AA14" s="515">
        <f t="shared" si="1"/>
        <v>2.58</v>
      </c>
      <c r="AB14" s="515">
        <f t="shared" si="2"/>
        <v>0.129</v>
      </c>
      <c r="AC14" s="498">
        <f>IFERROR(VLOOKUP(I14,'base dados'!$B$2:$D$49,2,FALSE),0)</f>
        <v>0</v>
      </c>
      <c r="AD14" s="498">
        <f t="shared" si="6"/>
        <v>0</v>
      </c>
      <c r="AE14" s="498">
        <f>IFERROR(VLOOKUP(J14,'base dados'!$B$2:$D$49,2,FALSE),0)*AJ14</f>
        <v>6898.8</v>
      </c>
      <c r="AF14" s="498">
        <f t="shared" si="7"/>
        <v>889.9452</v>
      </c>
      <c r="AG14" s="499">
        <f t="shared" si="3"/>
        <v>889.9452</v>
      </c>
      <c r="AH14" s="564">
        <v>1</v>
      </c>
      <c r="AJ14" s="509">
        <v>1</v>
      </c>
      <c r="AK14" s="482">
        <f t="shared" si="4"/>
        <v>2.58</v>
      </c>
    </row>
    <row r="15" spans="1:42" s="482" customFormat="1" ht="51.6" customHeight="1" x14ac:dyDescent="0.2">
      <c r="B15" s="509">
        <f>IFERROR(VLOOKUP(I15,'base dados'!$K$2:$L$3,2,FALSE),0)</f>
        <v>0</v>
      </c>
      <c r="C15" s="509">
        <f>IFERROR(VLOOKUP(J15,'base dados'!$M$2:$N$5,2,FALSE),0)</f>
        <v>50</v>
      </c>
      <c r="D15" s="514">
        <f>ROW(A7)</f>
        <v>7</v>
      </c>
      <c r="E15" s="486" t="s">
        <v>928</v>
      </c>
      <c r="F15" s="438"/>
      <c r="G15" s="486" t="s">
        <v>862</v>
      </c>
      <c r="H15" s="485" t="s">
        <v>938</v>
      </c>
      <c r="I15" s="481"/>
      <c r="J15" s="487" t="s">
        <v>752</v>
      </c>
      <c r="K15" s="438"/>
      <c r="L15" s="465"/>
      <c r="M15" s="438"/>
      <c r="N15" s="485" t="s">
        <v>752</v>
      </c>
      <c r="O15" s="500" t="str">
        <f>IFERROR(VLOOKUP(J15,'base dados'!$B$2:$E$13,4,FALSE),"")</f>
        <v>FC</v>
      </c>
      <c r="P15" s="670">
        <v>1.5</v>
      </c>
      <c r="Q15" s="438">
        <v>50</v>
      </c>
      <c r="R15" s="438">
        <v>34</v>
      </c>
      <c r="S15" s="438"/>
      <c r="T15" s="438"/>
      <c r="U15" s="438"/>
      <c r="V15" s="438"/>
      <c r="W15" s="493"/>
      <c r="X15" s="500">
        <f t="shared" si="5"/>
        <v>34</v>
      </c>
      <c r="Y15" s="500" t="str">
        <f t="shared" si="0"/>
        <v>1,5 X 50</v>
      </c>
      <c r="Z15" s="500">
        <f>IFERROR(VLOOKUP(Y15,PID!$A$4:$B$247,2,FALSE),0)</f>
        <v>0.5</v>
      </c>
      <c r="AA15" s="515">
        <f t="shared" si="1"/>
        <v>17</v>
      </c>
      <c r="AB15" s="515">
        <f t="shared" si="2"/>
        <v>0.85000000000000009</v>
      </c>
      <c r="AC15" s="498">
        <f>IFERROR(VLOOKUP(I15,'base dados'!$B$2:$D$49,2,FALSE),0)</f>
        <v>0</v>
      </c>
      <c r="AD15" s="498">
        <f t="shared" si="6"/>
        <v>0</v>
      </c>
      <c r="AE15" s="498">
        <f>IFERROR(VLOOKUP(J15,'base dados'!$B$2:$D$49,2,FALSE),0)*AJ15</f>
        <v>6898.8</v>
      </c>
      <c r="AF15" s="498">
        <f t="shared" si="7"/>
        <v>5863.9800000000005</v>
      </c>
      <c r="AG15" s="499">
        <f t="shared" si="3"/>
        <v>5863.9800000000005</v>
      </c>
      <c r="AH15" s="564">
        <v>1</v>
      </c>
      <c r="AJ15" s="509">
        <v>1</v>
      </c>
      <c r="AK15" s="482">
        <f t="shared" si="4"/>
        <v>17</v>
      </c>
    </row>
    <row r="16" spans="1:42" s="482" customFormat="1" ht="51.6" customHeight="1" x14ac:dyDescent="0.2">
      <c r="B16" s="509"/>
      <c r="C16" s="509"/>
      <c r="D16" s="514">
        <f>ROW(A8)</f>
        <v>8</v>
      </c>
      <c r="E16" s="486" t="s">
        <v>928</v>
      </c>
      <c r="F16" s="438"/>
      <c r="G16" s="486" t="s">
        <v>862</v>
      </c>
      <c r="H16" s="485" t="s">
        <v>939</v>
      </c>
      <c r="I16" s="481"/>
      <c r="J16" s="487" t="s">
        <v>752</v>
      </c>
      <c r="K16" s="438"/>
      <c r="L16" s="465"/>
      <c r="M16" s="438"/>
      <c r="N16" s="485" t="s">
        <v>752</v>
      </c>
      <c r="O16" s="500" t="str">
        <f>IFERROR(VLOOKUP(J16,'base dados'!$B$2:$E$13,4,FALSE),"")</f>
        <v>FC</v>
      </c>
      <c r="P16" s="670">
        <v>1.5</v>
      </c>
      <c r="Q16" s="438">
        <v>50</v>
      </c>
      <c r="R16" s="438">
        <v>63</v>
      </c>
      <c r="S16" s="438"/>
      <c r="T16" s="438"/>
      <c r="U16" s="438"/>
      <c r="V16" s="438"/>
      <c r="W16" s="493"/>
      <c r="X16" s="500">
        <f t="shared" ref="X16" si="9">R16+(S16*2)+(U16*1.5)+(T16*1.5)+(V16*2.5)+(W16*1.5)</f>
        <v>63</v>
      </c>
      <c r="Y16" s="500" t="str">
        <f t="shared" ref="Y16" si="10">P16&amp;" X "&amp;Q16</f>
        <v>1,5 X 50</v>
      </c>
      <c r="Z16" s="500">
        <f>IFERROR(VLOOKUP(Y16,PID!$A$4:$B$247,2,FALSE),0)</f>
        <v>0.5</v>
      </c>
      <c r="AA16" s="515">
        <f t="shared" ref="AA16" si="11">ROUNDDOWN(X16*Z16,3)</f>
        <v>31.5</v>
      </c>
      <c r="AB16" s="515">
        <f t="shared" ref="AB16" si="12">AA16*(Q16/1000)</f>
        <v>1.5750000000000002</v>
      </c>
      <c r="AC16" s="498">
        <f>IFERROR(VLOOKUP(I16,'base dados'!$B$2:$D$49,2,FALSE),0)</f>
        <v>0</v>
      </c>
      <c r="AD16" s="498">
        <f t="shared" ref="AD16" si="13">AC16*AB16</f>
        <v>0</v>
      </c>
      <c r="AE16" s="498">
        <f>IFERROR(VLOOKUP(J16,'base dados'!$B$2:$D$49,2,FALSE),0)*AJ16</f>
        <v>6898.8</v>
      </c>
      <c r="AF16" s="498">
        <f t="shared" ref="AF16" si="14">AE16*AB16</f>
        <v>10865.610000000002</v>
      </c>
      <c r="AG16" s="499">
        <f t="shared" ref="AG16" si="15">AF16+AD16</f>
        <v>10865.610000000002</v>
      </c>
      <c r="AH16" s="564">
        <v>1</v>
      </c>
      <c r="AJ16" s="509">
        <v>1</v>
      </c>
      <c r="AK16" s="482">
        <f t="shared" ref="AK16" si="16">AJ16*AA16</f>
        <v>31.5</v>
      </c>
    </row>
    <row r="17" spans="2:37" s="482" customFormat="1" ht="51.6" customHeight="1" x14ac:dyDescent="0.2">
      <c r="B17" s="509">
        <f>IFERROR(VLOOKUP(I17,'base dados'!$K$2:$L$3,2,FALSE),0)</f>
        <v>0</v>
      </c>
      <c r="C17" s="509">
        <f>IFERROR(VLOOKUP(J17,'base dados'!$M$2:$N$5,2,FALSE),0)</f>
        <v>50</v>
      </c>
      <c r="D17" s="514">
        <f>ROW(A8)</f>
        <v>8</v>
      </c>
      <c r="E17" s="486" t="s">
        <v>928</v>
      </c>
      <c r="F17" s="438"/>
      <c r="G17" s="486" t="s">
        <v>862</v>
      </c>
      <c r="H17" s="485" t="s">
        <v>939</v>
      </c>
      <c r="I17" s="481"/>
      <c r="J17" s="487" t="s">
        <v>752</v>
      </c>
      <c r="K17" s="438"/>
      <c r="L17" s="465"/>
      <c r="M17" s="438"/>
      <c r="N17" s="485" t="s">
        <v>752</v>
      </c>
      <c r="O17" s="500" t="str">
        <f>IFERROR(VLOOKUP(J17,'base dados'!$B$2:$E$13,4,FALSE),"")</f>
        <v>FC</v>
      </c>
      <c r="P17" s="438">
        <v>2</v>
      </c>
      <c r="Q17" s="438">
        <v>50</v>
      </c>
      <c r="R17" s="438">
        <v>8</v>
      </c>
      <c r="S17" s="438"/>
      <c r="T17" s="438"/>
      <c r="U17" s="438"/>
      <c r="V17" s="438"/>
      <c r="W17" s="493"/>
      <c r="X17" s="500">
        <f t="shared" si="5"/>
        <v>8</v>
      </c>
      <c r="Y17" s="500" t="str">
        <f t="shared" si="0"/>
        <v>2 X 50</v>
      </c>
      <c r="Z17" s="500">
        <f>IFERROR(VLOOKUP(Y17,PID!$A$4:$B$247,2,FALSE),0)</f>
        <v>0.54</v>
      </c>
      <c r="AA17" s="515">
        <f t="shared" si="1"/>
        <v>4.32</v>
      </c>
      <c r="AB17" s="515">
        <f t="shared" si="2"/>
        <v>0.21600000000000003</v>
      </c>
      <c r="AC17" s="498">
        <f>IFERROR(VLOOKUP(I17,'base dados'!$B$2:$D$49,2,FALSE),0)</f>
        <v>0</v>
      </c>
      <c r="AD17" s="498">
        <f t="shared" si="6"/>
        <v>0</v>
      </c>
      <c r="AE17" s="498">
        <f>IFERROR(VLOOKUP(J17,'base dados'!$B$2:$D$49,2,FALSE),0)*AJ17</f>
        <v>6898.8</v>
      </c>
      <c r="AF17" s="498">
        <f t="shared" si="7"/>
        <v>1490.1408000000001</v>
      </c>
      <c r="AG17" s="499">
        <f t="shared" si="3"/>
        <v>1490.1408000000001</v>
      </c>
      <c r="AH17" s="564">
        <v>1</v>
      </c>
      <c r="AJ17" s="509">
        <v>1</v>
      </c>
      <c r="AK17" s="482">
        <f t="shared" si="4"/>
        <v>4.32</v>
      </c>
    </row>
    <row r="18" spans="2:37" s="482" customFormat="1" ht="55.2" customHeight="1" x14ac:dyDescent="0.2">
      <c r="B18" s="509">
        <f>IFERROR(VLOOKUP(I18,'base dados'!$K$2:$L$3,2,FALSE),0)</f>
        <v>0</v>
      </c>
      <c r="C18" s="509">
        <f>IFERROR(VLOOKUP(J18,'base dados'!$M$2:$N$5,2,FALSE),0)</f>
        <v>50</v>
      </c>
      <c r="D18" s="514">
        <f t="shared" si="8"/>
        <v>10</v>
      </c>
      <c r="E18" s="486" t="s">
        <v>928</v>
      </c>
      <c r="F18" s="438"/>
      <c r="G18" s="486" t="s">
        <v>862</v>
      </c>
      <c r="H18" s="485" t="s">
        <v>939</v>
      </c>
      <c r="I18" s="481"/>
      <c r="J18" s="487" t="s">
        <v>752</v>
      </c>
      <c r="K18" s="438"/>
      <c r="L18" s="465"/>
      <c r="M18" s="438"/>
      <c r="N18" s="485" t="s">
        <v>752</v>
      </c>
      <c r="O18" s="500" t="str">
        <f>IFERROR(VLOOKUP(J18,'base dados'!$B$2:$E$13,4,FALSE),"")</f>
        <v>FC</v>
      </c>
      <c r="P18" s="438">
        <v>4</v>
      </c>
      <c r="Q18" s="438">
        <v>50</v>
      </c>
      <c r="R18" s="438">
        <v>2</v>
      </c>
      <c r="S18" s="438"/>
      <c r="T18" s="438"/>
      <c r="U18" s="438"/>
      <c r="V18" s="438"/>
      <c r="W18" s="493"/>
      <c r="X18" s="500">
        <f t="shared" si="5"/>
        <v>2</v>
      </c>
      <c r="Y18" s="500" t="str">
        <f t="shared" si="0"/>
        <v>4 X 50</v>
      </c>
      <c r="Z18" s="500">
        <f>IFERROR(VLOOKUP(Y18,PID!$A$4:$B$247,2,FALSE),0)</f>
        <v>0.71</v>
      </c>
      <c r="AA18" s="515">
        <f t="shared" si="1"/>
        <v>1.42</v>
      </c>
      <c r="AB18" s="515">
        <f t="shared" si="2"/>
        <v>7.0999999999999994E-2</v>
      </c>
      <c r="AC18" s="498">
        <f>IFERROR(VLOOKUP(I18,'base dados'!$B$2:$D$49,2,FALSE),0)</f>
        <v>0</v>
      </c>
      <c r="AD18" s="498">
        <f t="shared" si="6"/>
        <v>0</v>
      </c>
      <c r="AE18" s="498">
        <f>IFERROR(VLOOKUP(J18,'base dados'!$B$2:$D$49,2,FALSE),0)*AJ18</f>
        <v>6898.8</v>
      </c>
      <c r="AF18" s="498">
        <f>AE18*AB18</f>
        <v>489.81479999999999</v>
      </c>
      <c r="AG18" s="499">
        <f>AF18+AD18</f>
        <v>489.81479999999999</v>
      </c>
      <c r="AH18" s="564">
        <v>1</v>
      </c>
      <c r="AJ18" s="509">
        <v>1</v>
      </c>
      <c r="AK18" s="482">
        <f t="shared" si="4"/>
        <v>1.42</v>
      </c>
    </row>
    <row r="19" spans="2:37" s="482" customFormat="1" ht="51.6" customHeight="1" x14ac:dyDescent="0.2">
      <c r="B19" s="509">
        <f>IFERROR(VLOOKUP(I19,'base dados'!$K$2:$L$3,2,FALSE),0)</f>
        <v>0</v>
      </c>
      <c r="C19" s="509">
        <f>IFERROR(VLOOKUP(J19,'base dados'!$M$2:$N$5,2,FALSE),0)</f>
        <v>0</v>
      </c>
      <c r="D19" s="514">
        <f t="shared" si="8"/>
        <v>11</v>
      </c>
      <c r="E19" s="485"/>
      <c r="F19" s="438"/>
      <c r="G19" s="486"/>
      <c r="H19" s="438"/>
      <c r="I19" s="481"/>
      <c r="J19" s="487"/>
      <c r="K19" s="439"/>
      <c r="L19" s="467"/>
      <c r="M19" s="439"/>
      <c r="N19" s="439"/>
      <c r="O19" s="500"/>
      <c r="P19" s="439"/>
      <c r="Q19" s="438"/>
      <c r="R19" s="468"/>
      <c r="S19" s="468"/>
      <c r="T19" s="438"/>
      <c r="U19" s="438"/>
      <c r="V19" s="438"/>
      <c r="W19" s="493"/>
      <c r="X19" s="500">
        <f t="shared" si="5"/>
        <v>0</v>
      </c>
      <c r="Y19" s="500" t="str">
        <f t="shared" si="0"/>
        <v xml:space="preserve"> X </v>
      </c>
      <c r="Z19" s="500">
        <f>IFERROR(VLOOKUP(Y19,PID!$A$4:$B$247,2,FALSE),0)</f>
        <v>0</v>
      </c>
      <c r="AA19" s="515">
        <f t="shared" si="1"/>
        <v>0</v>
      </c>
      <c r="AB19" s="515">
        <f t="shared" si="2"/>
        <v>0</v>
      </c>
      <c r="AC19" s="498">
        <f>IFERROR(VLOOKUP(I19,'base dados'!$B$2:$D$49,2,FALSE),0)</f>
        <v>0</v>
      </c>
      <c r="AD19" s="498">
        <f t="shared" ref="AD19:AD71" si="17">AC19*AB19</f>
        <v>0</v>
      </c>
      <c r="AE19" s="498">
        <f>IFERROR(VLOOKUP(J19,'base dados'!$B$2:$D$49,2,FALSE),0)*AJ19</f>
        <v>0</v>
      </c>
      <c r="AF19" s="498">
        <f t="shared" si="7"/>
        <v>0</v>
      </c>
      <c r="AG19" s="499">
        <f t="shared" si="3"/>
        <v>0</v>
      </c>
      <c r="AH19" s="564">
        <v>1</v>
      </c>
      <c r="AJ19" s="509">
        <v>1</v>
      </c>
      <c r="AK19" s="482">
        <f t="shared" si="4"/>
        <v>0</v>
      </c>
    </row>
    <row r="20" spans="2:37" s="482" customFormat="1" ht="51.6" customHeight="1" x14ac:dyDescent="0.2">
      <c r="B20" s="509">
        <f>IFERROR(VLOOKUP(I20,'base dados'!$K$2:$L$3,2,FALSE),0)</f>
        <v>0</v>
      </c>
      <c r="C20" s="509">
        <f>IFERROR(VLOOKUP(J20,'base dados'!$M$2:$N$5,2,FALSE),0)</f>
        <v>0</v>
      </c>
      <c r="D20" s="514">
        <f t="shared" si="8"/>
        <v>12</v>
      </c>
      <c r="E20" s="485"/>
      <c r="F20" s="438"/>
      <c r="G20" s="486"/>
      <c r="H20" s="438"/>
      <c r="I20" s="481"/>
      <c r="J20" s="487"/>
      <c r="K20" s="439"/>
      <c r="L20" s="467"/>
      <c r="M20" s="439"/>
      <c r="N20" s="439"/>
      <c r="O20" s="500"/>
      <c r="P20" s="439"/>
      <c r="Q20" s="438"/>
      <c r="R20" s="438"/>
      <c r="S20" s="438"/>
      <c r="T20" s="438"/>
      <c r="U20" s="438"/>
      <c r="V20" s="438"/>
      <c r="W20" s="493"/>
      <c r="X20" s="500">
        <f t="shared" si="5"/>
        <v>0</v>
      </c>
      <c r="Y20" s="500" t="str">
        <f t="shared" si="0"/>
        <v xml:space="preserve"> X </v>
      </c>
      <c r="Z20" s="500">
        <f>IFERROR(VLOOKUP(Y20,PID!$A$4:$B$247,2,FALSE),0)</f>
        <v>0</v>
      </c>
      <c r="AA20" s="515">
        <f t="shared" si="1"/>
        <v>0</v>
      </c>
      <c r="AB20" s="515">
        <f t="shared" si="2"/>
        <v>0</v>
      </c>
      <c r="AC20" s="498">
        <f>IFERROR(VLOOKUP(I20,'base dados'!$B$2:$D$49,2,FALSE),0)</f>
        <v>0</v>
      </c>
      <c r="AD20" s="498">
        <f t="shared" si="17"/>
        <v>0</v>
      </c>
      <c r="AE20" s="498">
        <f>IFERROR(VLOOKUP(J20,'base dados'!$B$2:$D$49,2,FALSE),0)*AJ20</f>
        <v>0</v>
      </c>
      <c r="AF20" s="498">
        <f t="shared" si="7"/>
        <v>0</v>
      </c>
      <c r="AG20" s="499">
        <f t="shared" si="3"/>
        <v>0</v>
      </c>
      <c r="AH20" s="564">
        <v>1</v>
      </c>
      <c r="AJ20" s="509">
        <v>1</v>
      </c>
      <c r="AK20" s="482">
        <f t="shared" si="4"/>
        <v>0</v>
      </c>
    </row>
    <row r="21" spans="2:37" s="482" customFormat="1" ht="51.6" customHeight="1" x14ac:dyDescent="0.2">
      <c r="B21" s="509">
        <f>IFERROR(VLOOKUP(I21,'base dados'!$K$2:$L$3,2,FALSE),0)</f>
        <v>0</v>
      </c>
      <c r="C21" s="509">
        <f>IFERROR(VLOOKUP(J21,'base dados'!$M$2:$N$5,2,FALSE),0)</f>
        <v>0</v>
      </c>
      <c r="D21" s="514">
        <f t="shared" si="8"/>
        <v>13</v>
      </c>
      <c r="E21" s="438"/>
      <c r="F21" s="438"/>
      <c r="G21" s="438"/>
      <c r="H21" s="438"/>
      <c r="I21" s="481"/>
      <c r="J21" s="487"/>
      <c r="K21" s="439"/>
      <c r="L21" s="467"/>
      <c r="M21" s="439"/>
      <c r="N21" s="439"/>
      <c r="O21" s="500" t="str">
        <f>IFERROR(VLOOKUP(J21,'base dados'!$B$2:$E$12,4,FALSE),"")</f>
        <v/>
      </c>
      <c r="P21" s="439"/>
      <c r="Q21" s="438"/>
      <c r="R21" s="438"/>
      <c r="S21" s="438"/>
      <c r="T21" s="438"/>
      <c r="U21" s="438"/>
      <c r="V21" s="438"/>
      <c r="W21" s="493"/>
      <c r="X21" s="500">
        <f t="shared" si="5"/>
        <v>0</v>
      </c>
      <c r="Y21" s="500" t="str">
        <f t="shared" si="0"/>
        <v xml:space="preserve"> X </v>
      </c>
      <c r="Z21" s="500">
        <f>IFERROR(VLOOKUP(Y21,PID!$A$4:$B$247,2,FALSE),0)</f>
        <v>0</v>
      </c>
      <c r="AA21" s="515">
        <f t="shared" si="1"/>
        <v>0</v>
      </c>
      <c r="AB21" s="515">
        <f t="shared" si="2"/>
        <v>0</v>
      </c>
      <c r="AC21" s="498">
        <f>IFERROR(VLOOKUP(I21,'base dados'!$B$2:$D$49,2,FALSE),0)</f>
        <v>0</v>
      </c>
      <c r="AD21" s="498">
        <f t="shared" si="17"/>
        <v>0</v>
      </c>
      <c r="AE21" s="498">
        <f>IFERROR(VLOOKUP(J21,'base dados'!$B$2:$D$49,2,FALSE),0)*AJ21</f>
        <v>0</v>
      </c>
      <c r="AF21" s="498">
        <f t="shared" si="7"/>
        <v>0</v>
      </c>
      <c r="AG21" s="499">
        <f t="shared" si="3"/>
        <v>0</v>
      </c>
      <c r="AH21" s="564"/>
      <c r="AJ21" s="509">
        <v>1</v>
      </c>
    </row>
    <row r="22" spans="2:37" s="482" customFormat="1" ht="51.6" customHeight="1" x14ac:dyDescent="0.2">
      <c r="B22" s="509">
        <f>IFERROR(VLOOKUP(I22,'base dados'!$K$2:$L$3,2,FALSE),0)</f>
        <v>0</v>
      </c>
      <c r="C22" s="509">
        <f>IFERROR(VLOOKUP(J22,'base dados'!$M$2:$N$5,2,FALSE),0)</f>
        <v>0</v>
      </c>
      <c r="D22" s="514">
        <f t="shared" si="8"/>
        <v>14</v>
      </c>
      <c r="E22" s="438"/>
      <c r="F22" s="438"/>
      <c r="G22" s="438"/>
      <c r="H22" s="438"/>
      <c r="I22" s="481"/>
      <c r="J22" s="487"/>
      <c r="K22" s="439"/>
      <c r="L22" s="467"/>
      <c r="M22" s="439"/>
      <c r="N22" s="439"/>
      <c r="O22" s="500" t="str">
        <f>IFERROR(VLOOKUP(J22,'base dados'!$B$2:$E$12,4,FALSE),"")</f>
        <v/>
      </c>
      <c r="P22" s="439"/>
      <c r="Q22" s="438"/>
      <c r="R22" s="438"/>
      <c r="S22" s="438"/>
      <c r="T22" s="438"/>
      <c r="U22" s="438"/>
      <c r="V22" s="438"/>
      <c r="W22" s="493"/>
      <c r="X22" s="500">
        <f t="shared" si="5"/>
        <v>0</v>
      </c>
      <c r="Y22" s="500" t="str">
        <f t="shared" si="0"/>
        <v xml:space="preserve"> X </v>
      </c>
      <c r="Z22" s="500">
        <f>IFERROR(VLOOKUP(Y22,PID!$A$4:$B$247,2,FALSE),0)</f>
        <v>0</v>
      </c>
      <c r="AA22" s="515">
        <f t="shared" si="1"/>
        <v>0</v>
      </c>
      <c r="AB22" s="515">
        <f t="shared" si="2"/>
        <v>0</v>
      </c>
      <c r="AC22" s="498">
        <f>IFERROR(VLOOKUP(I22,'base dados'!$B$2:$D$49,2,FALSE),0)</f>
        <v>0</v>
      </c>
      <c r="AD22" s="498">
        <f t="shared" si="17"/>
        <v>0</v>
      </c>
      <c r="AE22" s="498">
        <f>IFERROR(VLOOKUP(J22,'base dados'!$B$2:$D$49,2,FALSE),0)*AJ22</f>
        <v>0</v>
      </c>
      <c r="AF22" s="498">
        <f t="shared" si="7"/>
        <v>0</v>
      </c>
      <c r="AG22" s="499">
        <f t="shared" si="3"/>
        <v>0</v>
      </c>
      <c r="AH22" s="564"/>
      <c r="AJ22" s="509">
        <v>1</v>
      </c>
    </row>
    <row r="23" spans="2:37" s="482" customFormat="1" ht="51.6" customHeight="1" x14ac:dyDescent="0.2">
      <c r="B23" s="509">
        <f>IFERROR(VLOOKUP(I23,'base dados'!$K$2:$L$3,2,FALSE),0)</f>
        <v>0</v>
      </c>
      <c r="C23" s="509">
        <f>IFERROR(VLOOKUP(J23,'base dados'!$M$2:$N$5,2,FALSE),0)</f>
        <v>0</v>
      </c>
      <c r="D23" s="514">
        <f t="shared" si="8"/>
        <v>15</v>
      </c>
      <c r="E23" s="438"/>
      <c r="F23" s="438"/>
      <c r="G23" s="438"/>
      <c r="H23" s="438"/>
      <c r="I23" s="481"/>
      <c r="J23" s="487"/>
      <c r="K23" s="439"/>
      <c r="L23" s="467"/>
      <c r="M23" s="439"/>
      <c r="N23" s="439"/>
      <c r="O23" s="500" t="str">
        <f>IFERROR(VLOOKUP(J23,'base dados'!$B$2:$E$12,4,FALSE),"")</f>
        <v/>
      </c>
      <c r="P23" s="439"/>
      <c r="Q23" s="438"/>
      <c r="R23" s="438"/>
      <c r="S23" s="438"/>
      <c r="T23" s="438"/>
      <c r="U23" s="438"/>
      <c r="V23" s="438"/>
      <c r="W23" s="493"/>
      <c r="X23" s="500">
        <f t="shared" si="5"/>
        <v>0</v>
      </c>
      <c r="Y23" s="500" t="str">
        <f t="shared" si="0"/>
        <v xml:space="preserve"> X </v>
      </c>
      <c r="Z23" s="500">
        <f>IFERROR(VLOOKUP(Y23,PID!$A$4:$B$247,2,FALSE),0)</f>
        <v>0</v>
      </c>
      <c r="AA23" s="515">
        <f t="shared" si="1"/>
        <v>0</v>
      </c>
      <c r="AB23" s="515">
        <f t="shared" si="2"/>
        <v>0</v>
      </c>
      <c r="AC23" s="498">
        <f>IFERROR(VLOOKUP(I23,'base dados'!$B$2:$D$49,2,FALSE),0)</f>
        <v>0</v>
      </c>
      <c r="AD23" s="498">
        <f t="shared" si="17"/>
        <v>0</v>
      </c>
      <c r="AE23" s="498">
        <f>IFERROR(VLOOKUP(J23,'base dados'!$B$2:$D$49,2,FALSE),0)*AJ23</f>
        <v>0</v>
      </c>
      <c r="AF23" s="498">
        <f t="shared" si="7"/>
        <v>0</v>
      </c>
      <c r="AG23" s="499">
        <f t="shared" si="3"/>
        <v>0</v>
      </c>
      <c r="AH23" s="564"/>
      <c r="AJ23" s="509">
        <v>1</v>
      </c>
    </row>
    <row r="24" spans="2:37" s="482" customFormat="1" ht="51.6" customHeight="1" x14ac:dyDescent="0.2">
      <c r="B24" s="509">
        <f>IFERROR(VLOOKUP(I24,'base dados'!$K$2:$L$3,2,FALSE),0)</f>
        <v>0</v>
      </c>
      <c r="C24" s="509">
        <f>IFERROR(VLOOKUP(J24,'base dados'!$M$2:$N$5,2,FALSE),0)</f>
        <v>0</v>
      </c>
      <c r="D24" s="514">
        <f t="shared" si="8"/>
        <v>16</v>
      </c>
      <c r="E24" s="438"/>
      <c r="F24" s="438"/>
      <c r="G24" s="438"/>
      <c r="H24" s="438"/>
      <c r="I24" s="481"/>
      <c r="J24" s="487"/>
      <c r="K24" s="439"/>
      <c r="L24" s="467"/>
      <c r="M24" s="439"/>
      <c r="N24" s="439"/>
      <c r="O24" s="500" t="str">
        <f>IFERROR(VLOOKUP(J24,'base dados'!$B$2:$E$12,4,FALSE),"")</f>
        <v/>
      </c>
      <c r="P24" s="439"/>
      <c r="Q24" s="438"/>
      <c r="R24" s="438"/>
      <c r="S24" s="438"/>
      <c r="T24" s="438"/>
      <c r="U24" s="438"/>
      <c r="V24" s="438"/>
      <c r="W24" s="493"/>
      <c r="X24" s="500">
        <f t="shared" si="5"/>
        <v>0</v>
      </c>
      <c r="Y24" s="500" t="str">
        <f t="shared" si="0"/>
        <v xml:space="preserve"> X </v>
      </c>
      <c r="Z24" s="500">
        <f>IFERROR(VLOOKUP(Y24,PID!$A$4:$B$247,2,FALSE),0)</f>
        <v>0</v>
      </c>
      <c r="AA24" s="515">
        <f t="shared" si="1"/>
        <v>0</v>
      </c>
      <c r="AB24" s="515">
        <f t="shared" si="2"/>
        <v>0</v>
      </c>
      <c r="AC24" s="498">
        <f>IFERROR(VLOOKUP(I24,'base dados'!$B$2:$D$49,2,FALSE),0)</f>
        <v>0</v>
      </c>
      <c r="AD24" s="498">
        <f t="shared" si="17"/>
        <v>0</v>
      </c>
      <c r="AE24" s="498">
        <f>IFERROR(VLOOKUP(J24,'base dados'!$B$2:$D$49,2,FALSE),0)*AJ24</f>
        <v>0</v>
      </c>
      <c r="AF24" s="498">
        <f t="shared" si="7"/>
        <v>0</v>
      </c>
      <c r="AG24" s="499">
        <f t="shared" si="3"/>
        <v>0</v>
      </c>
      <c r="AH24" s="564"/>
      <c r="AJ24" s="509">
        <v>1</v>
      </c>
    </row>
    <row r="25" spans="2:37" s="482" customFormat="1" ht="51.6" customHeight="1" x14ac:dyDescent="0.2">
      <c r="B25" s="509">
        <f>IFERROR(VLOOKUP(I25,'base dados'!$K$2:$L$3,2,FALSE),0)</f>
        <v>0</v>
      </c>
      <c r="C25" s="509">
        <f>IFERROR(VLOOKUP(J25,'base dados'!$M$2:$N$5,2,FALSE),0)</f>
        <v>0</v>
      </c>
      <c r="D25" s="514">
        <f t="shared" si="8"/>
        <v>17</v>
      </c>
      <c r="E25" s="438"/>
      <c r="F25" s="438"/>
      <c r="G25" s="438"/>
      <c r="H25" s="438"/>
      <c r="I25" s="481"/>
      <c r="J25" s="487"/>
      <c r="K25" s="439"/>
      <c r="L25" s="467"/>
      <c r="M25" s="439"/>
      <c r="N25" s="439"/>
      <c r="O25" s="500" t="str">
        <f>IFERROR(VLOOKUP(J25,'base dados'!$B$2:$E$12,4,FALSE),"")</f>
        <v/>
      </c>
      <c r="P25" s="439"/>
      <c r="Q25" s="438"/>
      <c r="R25" s="438"/>
      <c r="S25" s="438"/>
      <c r="T25" s="438"/>
      <c r="U25" s="438"/>
      <c r="V25" s="438"/>
      <c r="W25" s="493"/>
      <c r="X25" s="500">
        <f t="shared" si="5"/>
        <v>0</v>
      </c>
      <c r="Y25" s="500" t="str">
        <f t="shared" si="0"/>
        <v xml:space="preserve"> X </v>
      </c>
      <c r="Z25" s="500">
        <f>IFERROR(VLOOKUP(Y25,PID!$A$4:$B$247,2,FALSE),0)</f>
        <v>0</v>
      </c>
      <c r="AA25" s="515">
        <f t="shared" si="1"/>
        <v>0</v>
      </c>
      <c r="AB25" s="515">
        <f t="shared" si="2"/>
        <v>0</v>
      </c>
      <c r="AC25" s="498">
        <f>IFERROR(VLOOKUP(I25,'base dados'!$B$2:$D$49,2,FALSE),0)</f>
        <v>0</v>
      </c>
      <c r="AD25" s="498">
        <f t="shared" si="17"/>
        <v>0</v>
      </c>
      <c r="AE25" s="498">
        <f>IFERROR(VLOOKUP(J25,'base dados'!$B$2:$D$49,2,FALSE),0)*AJ25</f>
        <v>0</v>
      </c>
      <c r="AF25" s="498">
        <f t="shared" si="7"/>
        <v>0</v>
      </c>
      <c r="AG25" s="499">
        <f t="shared" si="3"/>
        <v>0</v>
      </c>
      <c r="AH25" s="564"/>
      <c r="AJ25" s="509">
        <v>1</v>
      </c>
    </row>
    <row r="26" spans="2:37" s="482" customFormat="1" ht="51.6" customHeight="1" x14ac:dyDescent="0.2">
      <c r="B26" s="509">
        <f>IFERROR(VLOOKUP(I26,'base dados'!$K$2:$L$3,2,FALSE),0)</f>
        <v>0</v>
      </c>
      <c r="C26" s="509">
        <f>IFERROR(VLOOKUP(J26,'base dados'!$M$2:$N$5,2,FALSE),0)</f>
        <v>0</v>
      </c>
      <c r="D26" s="514">
        <f t="shared" si="8"/>
        <v>18</v>
      </c>
      <c r="E26" s="438"/>
      <c r="F26" s="438"/>
      <c r="G26" s="438"/>
      <c r="H26" s="438"/>
      <c r="I26" s="481"/>
      <c r="J26" s="487"/>
      <c r="K26" s="439"/>
      <c r="L26" s="467"/>
      <c r="M26" s="439"/>
      <c r="N26" s="439"/>
      <c r="O26" s="500" t="str">
        <f>IFERROR(VLOOKUP(J26,'base dados'!$B$2:$E$12,4,FALSE),"")</f>
        <v/>
      </c>
      <c r="P26" s="439"/>
      <c r="Q26" s="438"/>
      <c r="R26" s="438"/>
      <c r="S26" s="438"/>
      <c r="T26" s="438"/>
      <c r="U26" s="438"/>
      <c r="V26" s="438"/>
      <c r="W26" s="493"/>
      <c r="X26" s="500">
        <f t="shared" si="5"/>
        <v>0</v>
      </c>
      <c r="Y26" s="500" t="str">
        <f t="shared" si="0"/>
        <v xml:space="preserve"> X </v>
      </c>
      <c r="Z26" s="500">
        <f>IFERROR(VLOOKUP(Y26,PID!$A$4:$B$247,2,FALSE),0)</f>
        <v>0</v>
      </c>
      <c r="AA26" s="515">
        <f t="shared" si="1"/>
        <v>0</v>
      </c>
      <c r="AB26" s="515">
        <f t="shared" si="2"/>
        <v>0</v>
      </c>
      <c r="AC26" s="498">
        <f>IFERROR(VLOOKUP(I26,'base dados'!$B$2:$D$49,2,FALSE),0)</f>
        <v>0</v>
      </c>
      <c r="AD26" s="498">
        <f t="shared" si="17"/>
        <v>0</v>
      </c>
      <c r="AE26" s="498">
        <f>IFERROR(VLOOKUP(J26,'base dados'!$B$2:$D$49,2,FALSE),0)*AJ26</f>
        <v>0</v>
      </c>
      <c r="AF26" s="498">
        <f t="shared" si="7"/>
        <v>0</v>
      </c>
      <c r="AG26" s="499">
        <f t="shared" si="3"/>
        <v>0</v>
      </c>
      <c r="AH26" s="564"/>
      <c r="AJ26" s="509">
        <v>1</v>
      </c>
    </row>
    <row r="27" spans="2:37" s="482" customFormat="1" ht="51.6" customHeight="1" x14ac:dyDescent="0.2">
      <c r="B27" s="509">
        <f>IFERROR(VLOOKUP(I27,'base dados'!$K$2:$L$3,2,FALSE),0)</f>
        <v>0</v>
      </c>
      <c r="C27" s="509">
        <f>IFERROR(VLOOKUP(J27,'base dados'!$M$2:$N$5,2,FALSE),0)</f>
        <v>0</v>
      </c>
      <c r="D27" s="514">
        <f t="shared" si="8"/>
        <v>19</v>
      </c>
      <c r="E27" s="438"/>
      <c r="F27" s="438"/>
      <c r="G27" s="438"/>
      <c r="H27" s="438"/>
      <c r="I27" s="481"/>
      <c r="J27" s="487"/>
      <c r="K27" s="439"/>
      <c r="L27" s="467"/>
      <c r="M27" s="439"/>
      <c r="N27" s="439"/>
      <c r="O27" s="500" t="str">
        <f>IFERROR(VLOOKUP(J27,'base dados'!$B$2:$E$12,4,FALSE),"")</f>
        <v/>
      </c>
      <c r="P27" s="439"/>
      <c r="Q27" s="438"/>
      <c r="R27" s="438"/>
      <c r="S27" s="438"/>
      <c r="T27" s="438"/>
      <c r="U27" s="438"/>
      <c r="V27" s="438"/>
      <c r="W27" s="493"/>
      <c r="X27" s="500">
        <f t="shared" si="5"/>
        <v>0</v>
      </c>
      <c r="Y27" s="500" t="str">
        <f t="shared" si="0"/>
        <v xml:space="preserve"> X </v>
      </c>
      <c r="Z27" s="500">
        <f>IFERROR(VLOOKUP(Y27,PID!$A$4:$B$247,2,FALSE),0)</f>
        <v>0</v>
      </c>
      <c r="AA27" s="515">
        <f t="shared" si="1"/>
        <v>0</v>
      </c>
      <c r="AB27" s="515">
        <f t="shared" si="2"/>
        <v>0</v>
      </c>
      <c r="AC27" s="498">
        <f>IFERROR(VLOOKUP(I27,'base dados'!$B$2:$D$49,2,FALSE),0)</f>
        <v>0</v>
      </c>
      <c r="AD27" s="498">
        <f t="shared" si="17"/>
        <v>0</v>
      </c>
      <c r="AE27" s="498">
        <f>IFERROR(VLOOKUP(J27,'base dados'!$B$2:$D$49,2,FALSE),0)*AJ27</f>
        <v>0</v>
      </c>
      <c r="AF27" s="498">
        <f t="shared" si="7"/>
        <v>0</v>
      </c>
      <c r="AG27" s="499">
        <f t="shared" si="3"/>
        <v>0</v>
      </c>
      <c r="AH27" s="564"/>
      <c r="AJ27" s="509">
        <v>1</v>
      </c>
    </row>
    <row r="28" spans="2:37" s="482" customFormat="1" ht="51.6" customHeight="1" x14ac:dyDescent="0.2">
      <c r="B28" s="509">
        <f>IFERROR(VLOOKUP(I28,'base dados'!$K$2:$L$3,2,FALSE),0)</f>
        <v>0</v>
      </c>
      <c r="C28" s="509">
        <f>IFERROR(VLOOKUP(J28,'base dados'!$M$2:$N$5,2,FALSE),0)</f>
        <v>0</v>
      </c>
      <c r="D28" s="514">
        <f t="shared" si="8"/>
        <v>20</v>
      </c>
      <c r="E28" s="438"/>
      <c r="F28" s="438"/>
      <c r="G28" s="438"/>
      <c r="H28" s="438"/>
      <c r="I28" s="481"/>
      <c r="J28" s="487"/>
      <c r="K28" s="439"/>
      <c r="L28" s="467"/>
      <c r="M28" s="439"/>
      <c r="N28" s="439"/>
      <c r="O28" s="500" t="str">
        <f>IFERROR(VLOOKUP(J28,'base dados'!$B$2:$E$12,4,FALSE),"")</f>
        <v/>
      </c>
      <c r="P28" s="439"/>
      <c r="Q28" s="438"/>
      <c r="R28" s="438"/>
      <c r="S28" s="438"/>
      <c r="T28" s="438"/>
      <c r="U28" s="438"/>
      <c r="V28" s="438"/>
      <c r="W28" s="493"/>
      <c r="X28" s="500">
        <f t="shared" si="5"/>
        <v>0</v>
      </c>
      <c r="Y28" s="500" t="str">
        <f t="shared" si="0"/>
        <v xml:space="preserve"> X </v>
      </c>
      <c r="Z28" s="500">
        <f>IFERROR(VLOOKUP(Y28,PID!$A$4:$B$247,2,FALSE),0)</f>
        <v>0</v>
      </c>
      <c r="AA28" s="515">
        <f t="shared" si="1"/>
        <v>0</v>
      </c>
      <c r="AB28" s="515">
        <f t="shared" si="2"/>
        <v>0</v>
      </c>
      <c r="AC28" s="498">
        <f>IFERROR(VLOOKUP(I28,'base dados'!$B$2:$D$49,2,FALSE),0)</f>
        <v>0</v>
      </c>
      <c r="AD28" s="498">
        <f t="shared" si="17"/>
        <v>0</v>
      </c>
      <c r="AE28" s="498">
        <f>IFERROR(VLOOKUP(J28,'base dados'!$B$2:$D$49,2,FALSE),0)*AJ28</f>
        <v>0</v>
      </c>
      <c r="AF28" s="498">
        <f t="shared" si="7"/>
        <v>0</v>
      </c>
      <c r="AG28" s="499">
        <f t="shared" si="3"/>
        <v>0</v>
      </c>
      <c r="AH28" s="564"/>
      <c r="AJ28" s="509">
        <v>1</v>
      </c>
    </row>
    <row r="29" spans="2:37" s="482" customFormat="1" ht="51.6" customHeight="1" x14ac:dyDescent="0.2">
      <c r="B29" s="509">
        <f>IFERROR(VLOOKUP(I29,'base dados'!$K$2:$L$3,2,FALSE),0)</f>
        <v>0</v>
      </c>
      <c r="C29" s="509">
        <f>IFERROR(VLOOKUP(J29,'base dados'!$M$2:$N$5,2,FALSE),0)</f>
        <v>0</v>
      </c>
      <c r="D29" s="514">
        <f t="shared" si="8"/>
        <v>21</v>
      </c>
      <c r="E29" s="438"/>
      <c r="F29" s="438"/>
      <c r="G29" s="438"/>
      <c r="H29" s="438"/>
      <c r="I29" s="481"/>
      <c r="J29" s="487"/>
      <c r="K29" s="439"/>
      <c r="L29" s="467"/>
      <c r="M29" s="439"/>
      <c r="N29" s="439"/>
      <c r="O29" s="500" t="str">
        <f>IFERROR(VLOOKUP(J29,'base dados'!$B$2:$E$12,4,FALSE),"")</f>
        <v/>
      </c>
      <c r="P29" s="439"/>
      <c r="Q29" s="438"/>
      <c r="R29" s="438"/>
      <c r="S29" s="438"/>
      <c r="T29" s="438"/>
      <c r="U29" s="438"/>
      <c r="V29" s="438"/>
      <c r="W29" s="493"/>
      <c r="X29" s="500">
        <f t="shared" si="5"/>
        <v>0</v>
      </c>
      <c r="Y29" s="500" t="str">
        <f t="shared" si="0"/>
        <v xml:space="preserve"> X </v>
      </c>
      <c r="Z29" s="500">
        <f>IFERROR(VLOOKUP(Y29,PID!$A$4:$B$247,2,FALSE),0)</f>
        <v>0</v>
      </c>
      <c r="AA29" s="515">
        <f t="shared" si="1"/>
        <v>0</v>
      </c>
      <c r="AB29" s="515">
        <f t="shared" si="2"/>
        <v>0</v>
      </c>
      <c r="AC29" s="498">
        <f>IFERROR(VLOOKUP(I29,'base dados'!$B$2:$D$49,2,FALSE),0)</f>
        <v>0</v>
      </c>
      <c r="AD29" s="498">
        <f t="shared" si="17"/>
        <v>0</v>
      </c>
      <c r="AE29" s="498">
        <f>IFERROR(VLOOKUP(J29,'base dados'!$B$2:$D$49,2,FALSE),0)*AJ29</f>
        <v>0</v>
      </c>
      <c r="AF29" s="498">
        <f t="shared" si="7"/>
        <v>0</v>
      </c>
      <c r="AG29" s="499">
        <f t="shared" si="3"/>
        <v>0</v>
      </c>
      <c r="AH29" s="564"/>
      <c r="AJ29" s="509">
        <v>1</v>
      </c>
    </row>
    <row r="30" spans="2:37" s="482" customFormat="1" ht="51.6" customHeight="1" x14ac:dyDescent="0.2">
      <c r="B30" s="509">
        <f>IFERROR(VLOOKUP(I30,'base dados'!$K$2:$L$3,2,FALSE),0)</f>
        <v>0</v>
      </c>
      <c r="C30" s="509">
        <f>IFERROR(VLOOKUP(J30,'base dados'!$M$2:$N$5,2,FALSE),0)</f>
        <v>0</v>
      </c>
      <c r="D30" s="514">
        <f t="shared" si="8"/>
        <v>22</v>
      </c>
      <c r="E30" s="438"/>
      <c r="F30" s="438"/>
      <c r="G30" s="438"/>
      <c r="H30" s="438"/>
      <c r="I30" s="481"/>
      <c r="J30" s="487"/>
      <c r="K30" s="439"/>
      <c r="L30" s="470"/>
      <c r="M30" s="471"/>
      <c r="N30" s="471"/>
      <c r="O30" s="500" t="str">
        <f>IFERROR(VLOOKUP(J30,'base dados'!$B$2:$E$12,4,FALSE),"")</f>
        <v/>
      </c>
      <c r="P30" s="471"/>
      <c r="Q30" s="438"/>
      <c r="R30" s="469"/>
      <c r="S30" s="469"/>
      <c r="T30" s="469"/>
      <c r="U30" s="469"/>
      <c r="V30" s="469"/>
      <c r="W30" s="494"/>
      <c r="X30" s="500">
        <f t="shared" si="5"/>
        <v>0</v>
      </c>
      <c r="Y30" s="500" t="str">
        <f t="shared" si="0"/>
        <v xml:space="preserve"> X </v>
      </c>
      <c r="Z30" s="500">
        <f>IFERROR(VLOOKUP(Y30,PID!$A$4:$B$247,2,FALSE),0)</f>
        <v>0</v>
      </c>
      <c r="AA30" s="515">
        <f t="shared" si="1"/>
        <v>0</v>
      </c>
      <c r="AB30" s="515">
        <f t="shared" si="2"/>
        <v>0</v>
      </c>
      <c r="AC30" s="498">
        <f>IFERROR(VLOOKUP(I30,'base dados'!$B$2:$D$49,2,FALSE),0)</f>
        <v>0</v>
      </c>
      <c r="AD30" s="498">
        <f t="shared" si="17"/>
        <v>0</v>
      </c>
      <c r="AE30" s="498">
        <f>IFERROR(VLOOKUP(J30,'base dados'!$B$2:$D$49,2,FALSE),0)*AJ30</f>
        <v>0</v>
      </c>
      <c r="AF30" s="498">
        <f t="shared" si="7"/>
        <v>0</v>
      </c>
      <c r="AG30" s="499">
        <f t="shared" si="3"/>
        <v>0</v>
      </c>
      <c r="AH30" s="564"/>
      <c r="AJ30" s="509">
        <v>1</v>
      </c>
    </row>
    <row r="31" spans="2:37" s="482" customFormat="1" ht="51.6" customHeight="1" x14ac:dyDescent="0.2">
      <c r="B31" s="509">
        <f>IFERROR(VLOOKUP(I31,'base dados'!$K$2:$L$3,2,FALSE),0)</f>
        <v>0</v>
      </c>
      <c r="C31" s="509">
        <f>IFERROR(VLOOKUP(J31,'base dados'!$M$2:$N$5,2,FALSE),0)</f>
        <v>0</v>
      </c>
      <c r="D31" s="514">
        <f t="shared" si="8"/>
        <v>23</v>
      </c>
      <c r="E31" s="438"/>
      <c r="F31" s="438"/>
      <c r="G31" s="438"/>
      <c r="H31" s="438"/>
      <c r="I31" s="481"/>
      <c r="J31" s="487"/>
      <c r="K31" s="439"/>
      <c r="L31" s="470"/>
      <c r="M31" s="471"/>
      <c r="N31" s="471"/>
      <c r="O31" s="500" t="str">
        <f>IFERROR(VLOOKUP(J31,'base dados'!$B$2:$E$12,4,FALSE),"")</f>
        <v/>
      </c>
      <c r="P31" s="471"/>
      <c r="Q31" s="438"/>
      <c r="R31" s="469"/>
      <c r="S31" s="469"/>
      <c r="T31" s="469"/>
      <c r="U31" s="469"/>
      <c r="V31" s="469"/>
      <c r="W31" s="494"/>
      <c r="X31" s="500">
        <f t="shared" si="5"/>
        <v>0</v>
      </c>
      <c r="Y31" s="500" t="str">
        <f t="shared" si="0"/>
        <v xml:space="preserve"> X </v>
      </c>
      <c r="Z31" s="500">
        <f>IFERROR(VLOOKUP(Y31,PID!$A$4:$B$247,2,FALSE),0)</f>
        <v>0</v>
      </c>
      <c r="AA31" s="515">
        <f t="shared" si="1"/>
        <v>0</v>
      </c>
      <c r="AB31" s="515">
        <f t="shared" si="2"/>
        <v>0</v>
      </c>
      <c r="AC31" s="498">
        <f>IFERROR(VLOOKUP(I31,'base dados'!$B$2:$D$49,2,FALSE),0)</f>
        <v>0</v>
      </c>
      <c r="AD31" s="498">
        <f t="shared" si="17"/>
        <v>0</v>
      </c>
      <c r="AE31" s="498">
        <f>IFERROR(VLOOKUP(J31,'base dados'!$B$2:$D$49,2,FALSE),0)*AJ31</f>
        <v>0</v>
      </c>
      <c r="AF31" s="498">
        <f t="shared" si="7"/>
        <v>0</v>
      </c>
      <c r="AG31" s="499">
        <f t="shared" si="3"/>
        <v>0</v>
      </c>
      <c r="AH31" s="564"/>
      <c r="AJ31" s="509">
        <v>1</v>
      </c>
    </row>
    <row r="32" spans="2:37" s="482" customFormat="1" ht="51.6" customHeight="1" x14ac:dyDescent="0.2">
      <c r="B32" s="509">
        <f>IFERROR(VLOOKUP(I32,'base dados'!$K$2:$L$3,2,FALSE),0)</f>
        <v>0</v>
      </c>
      <c r="C32" s="509">
        <f>IFERROR(VLOOKUP(J32,'base dados'!$M$2:$N$5,2,FALSE),0)</f>
        <v>0</v>
      </c>
      <c r="D32" s="514">
        <f t="shared" si="8"/>
        <v>24</v>
      </c>
      <c r="E32" s="438"/>
      <c r="F32" s="438"/>
      <c r="G32" s="438"/>
      <c r="H32" s="438"/>
      <c r="I32" s="481"/>
      <c r="J32" s="487"/>
      <c r="K32" s="439"/>
      <c r="L32" s="473"/>
      <c r="M32" s="474"/>
      <c r="N32" s="474"/>
      <c r="O32" s="500" t="str">
        <f>IFERROR(VLOOKUP(J32,'base dados'!$B$2:$E$12,4,FALSE),"")</f>
        <v/>
      </c>
      <c r="P32" s="474"/>
      <c r="Q32" s="438"/>
      <c r="R32" s="472"/>
      <c r="S32" s="472"/>
      <c r="T32" s="472"/>
      <c r="U32" s="472"/>
      <c r="V32" s="472"/>
      <c r="W32" s="495"/>
      <c r="X32" s="500">
        <f t="shared" si="5"/>
        <v>0</v>
      </c>
      <c r="Y32" s="500" t="str">
        <f t="shared" si="0"/>
        <v xml:space="preserve"> X </v>
      </c>
      <c r="Z32" s="500">
        <f>IFERROR(VLOOKUP(Y32,PID!$A$4:$B$247,2,FALSE),0)</f>
        <v>0</v>
      </c>
      <c r="AA32" s="515">
        <f t="shared" si="1"/>
        <v>0</v>
      </c>
      <c r="AB32" s="515">
        <f t="shared" si="2"/>
        <v>0</v>
      </c>
      <c r="AC32" s="498">
        <f>IFERROR(VLOOKUP(I32,'base dados'!$B$2:$D$49,2,FALSE),0)</f>
        <v>0</v>
      </c>
      <c r="AD32" s="498">
        <f t="shared" si="17"/>
        <v>0</v>
      </c>
      <c r="AE32" s="498">
        <f>IFERROR(VLOOKUP(J32,'base dados'!$B$2:$D$49,2,FALSE),0)*AJ32</f>
        <v>0</v>
      </c>
      <c r="AF32" s="498">
        <f t="shared" si="7"/>
        <v>0</v>
      </c>
      <c r="AG32" s="499">
        <f t="shared" si="3"/>
        <v>0</v>
      </c>
      <c r="AH32" s="564"/>
      <c r="AJ32" s="509">
        <v>1</v>
      </c>
    </row>
    <row r="33" spans="2:36" s="482" customFormat="1" ht="51.6" customHeight="1" x14ac:dyDescent="0.2">
      <c r="B33" s="509">
        <f>IFERROR(VLOOKUP(I33,'base dados'!$K$2:$L$3,2,FALSE),0)</f>
        <v>0</v>
      </c>
      <c r="C33" s="509">
        <f>IFERROR(VLOOKUP(J33,'base dados'!$M$2:$N$5,2,FALSE),0)</f>
        <v>0</v>
      </c>
      <c r="D33" s="514">
        <f t="shared" si="8"/>
        <v>25</v>
      </c>
      <c r="E33" s="438"/>
      <c r="F33" s="438"/>
      <c r="G33" s="438"/>
      <c r="H33" s="438"/>
      <c r="I33" s="481"/>
      <c r="J33" s="487"/>
      <c r="K33" s="438"/>
      <c r="L33" s="465"/>
      <c r="M33" s="438"/>
      <c r="N33" s="438"/>
      <c r="O33" s="500" t="str">
        <f>IFERROR(VLOOKUP(J33,'base dados'!$B$2:$E$12,4,FALSE),"")</f>
        <v/>
      </c>
      <c r="P33" s="438"/>
      <c r="Q33" s="438"/>
      <c r="R33" s="438"/>
      <c r="S33" s="438"/>
      <c r="T33" s="438"/>
      <c r="U33" s="438"/>
      <c r="V33" s="438"/>
      <c r="W33" s="493"/>
      <c r="X33" s="500">
        <f t="shared" si="5"/>
        <v>0</v>
      </c>
      <c r="Y33" s="500" t="str">
        <f t="shared" si="0"/>
        <v xml:space="preserve"> X </v>
      </c>
      <c r="Z33" s="500">
        <f>IFERROR(VLOOKUP(Y33,PID!$A$4:$B$247,2,FALSE),0)</f>
        <v>0</v>
      </c>
      <c r="AA33" s="515">
        <f t="shared" si="1"/>
        <v>0</v>
      </c>
      <c r="AB33" s="515">
        <f t="shared" si="2"/>
        <v>0</v>
      </c>
      <c r="AC33" s="498">
        <f>IFERROR(VLOOKUP(I33,'base dados'!$B$2:$D$49,2,FALSE),0)</f>
        <v>0</v>
      </c>
      <c r="AD33" s="498">
        <f t="shared" si="17"/>
        <v>0</v>
      </c>
      <c r="AE33" s="498">
        <f>IFERROR(VLOOKUP(J33,'base dados'!$B$2:$D$49,2,FALSE),0)*AJ33</f>
        <v>0</v>
      </c>
      <c r="AF33" s="498">
        <f t="shared" si="7"/>
        <v>0</v>
      </c>
      <c r="AG33" s="499">
        <f t="shared" si="3"/>
        <v>0</v>
      </c>
      <c r="AH33" s="564"/>
      <c r="AJ33" s="509">
        <v>1</v>
      </c>
    </row>
    <row r="34" spans="2:36" s="482" customFormat="1" ht="51.6" customHeight="1" x14ac:dyDescent="0.2">
      <c r="B34" s="509">
        <f>IFERROR(VLOOKUP(I34,'base dados'!$K$2:$L$3,2,FALSE),0)</f>
        <v>0</v>
      </c>
      <c r="C34" s="509">
        <f>IFERROR(VLOOKUP(J34,'base dados'!$M$2:$N$5,2,FALSE),0)</f>
        <v>0</v>
      </c>
      <c r="D34" s="514">
        <f t="shared" si="8"/>
        <v>26</v>
      </c>
      <c r="E34" s="438"/>
      <c r="F34" s="438"/>
      <c r="G34" s="438"/>
      <c r="H34" s="438"/>
      <c r="I34" s="481"/>
      <c r="J34" s="487"/>
      <c r="K34" s="438"/>
      <c r="L34" s="467"/>
      <c r="M34" s="439"/>
      <c r="N34" s="439"/>
      <c r="O34" s="500" t="str">
        <f>IFERROR(VLOOKUP(J34,'base dados'!$B$2:$E$12,4,FALSE),"")</f>
        <v/>
      </c>
      <c r="P34" s="439"/>
      <c r="Q34" s="438"/>
      <c r="R34" s="466"/>
      <c r="S34" s="438"/>
      <c r="T34" s="438"/>
      <c r="U34" s="438"/>
      <c r="V34" s="438"/>
      <c r="W34" s="493"/>
      <c r="X34" s="500">
        <f t="shared" si="5"/>
        <v>0</v>
      </c>
      <c r="Y34" s="500" t="str">
        <f t="shared" si="0"/>
        <v xml:space="preserve"> X </v>
      </c>
      <c r="Z34" s="500">
        <f>IFERROR(VLOOKUP(Y34,PID!$A$4:$B$247,2,FALSE),0)</f>
        <v>0</v>
      </c>
      <c r="AA34" s="515">
        <f t="shared" si="1"/>
        <v>0</v>
      </c>
      <c r="AB34" s="515">
        <f t="shared" si="2"/>
        <v>0</v>
      </c>
      <c r="AC34" s="498">
        <f>IFERROR(VLOOKUP(I34,'base dados'!$B$2:$D$49,2,FALSE),0)</f>
        <v>0</v>
      </c>
      <c r="AD34" s="498">
        <f t="shared" si="17"/>
        <v>0</v>
      </c>
      <c r="AE34" s="498">
        <f>IFERROR(VLOOKUP(J34,'base dados'!$B$2:$D$49,2,FALSE),0)*AJ34</f>
        <v>0</v>
      </c>
      <c r="AF34" s="498">
        <f t="shared" si="7"/>
        <v>0</v>
      </c>
      <c r="AG34" s="499">
        <f t="shared" si="3"/>
        <v>0</v>
      </c>
      <c r="AH34" s="564"/>
      <c r="AJ34" s="509">
        <v>1</v>
      </c>
    </row>
    <row r="35" spans="2:36" s="482" customFormat="1" ht="51.6" customHeight="1" x14ac:dyDescent="0.2">
      <c r="B35" s="509">
        <f>IFERROR(VLOOKUP(I35,'base dados'!$K$2:$L$3,2,FALSE),0)</f>
        <v>0</v>
      </c>
      <c r="C35" s="509">
        <f>IFERROR(VLOOKUP(J35,'base dados'!$M$2:$N$5,2,FALSE),0)</f>
        <v>0</v>
      </c>
      <c r="D35" s="514">
        <f t="shared" si="8"/>
        <v>27</v>
      </c>
      <c r="E35" s="438"/>
      <c r="F35" s="438"/>
      <c r="G35" s="438"/>
      <c r="H35" s="438"/>
      <c r="I35" s="481"/>
      <c r="J35" s="487"/>
      <c r="K35" s="438"/>
      <c r="L35" s="467"/>
      <c r="M35" s="439"/>
      <c r="N35" s="439"/>
      <c r="O35" s="500" t="str">
        <f>IFERROR(VLOOKUP(J35,'base dados'!$B$2:$E$12,4,FALSE),"")</f>
        <v/>
      </c>
      <c r="P35" s="439"/>
      <c r="Q35" s="438"/>
      <c r="R35" s="466"/>
      <c r="S35" s="438"/>
      <c r="T35" s="438"/>
      <c r="U35" s="438"/>
      <c r="V35" s="438"/>
      <c r="W35" s="493"/>
      <c r="X35" s="500">
        <f t="shared" si="5"/>
        <v>0</v>
      </c>
      <c r="Y35" s="500" t="str">
        <f t="shared" si="0"/>
        <v xml:space="preserve"> X </v>
      </c>
      <c r="Z35" s="500">
        <f>IFERROR(VLOOKUP(Y35,PID!$A$4:$B$247,2,FALSE),0)</f>
        <v>0</v>
      </c>
      <c r="AA35" s="515">
        <f t="shared" si="1"/>
        <v>0</v>
      </c>
      <c r="AB35" s="515">
        <f t="shared" si="2"/>
        <v>0</v>
      </c>
      <c r="AC35" s="498">
        <f>IFERROR(VLOOKUP(I35,'base dados'!$B$2:$D$49,2,FALSE),0)</f>
        <v>0</v>
      </c>
      <c r="AD35" s="498">
        <f t="shared" si="17"/>
        <v>0</v>
      </c>
      <c r="AE35" s="498">
        <f>IFERROR(VLOOKUP(J35,'base dados'!$B$2:$D$49,2,FALSE),0)*AJ35</f>
        <v>0</v>
      </c>
      <c r="AF35" s="498">
        <f t="shared" si="7"/>
        <v>0</v>
      </c>
      <c r="AG35" s="499">
        <f t="shared" si="3"/>
        <v>0</v>
      </c>
      <c r="AH35" s="564"/>
      <c r="AJ35" s="509">
        <v>1</v>
      </c>
    </row>
    <row r="36" spans="2:36" s="482" customFormat="1" ht="51.6" customHeight="1" x14ac:dyDescent="0.2">
      <c r="B36" s="509">
        <f>IFERROR(VLOOKUP(I36,'base dados'!$K$2:$L$3,2,FALSE),0)</f>
        <v>0</v>
      </c>
      <c r="C36" s="509">
        <f>IFERROR(VLOOKUP(J36,'base dados'!$M$2:$N$5,2,FALSE),0)</f>
        <v>0</v>
      </c>
      <c r="D36" s="514">
        <f t="shared" si="8"/>
        <v>28</v>
      </c>
      <c r="E36" s="438"/>
      <c r="F36" s="438"/>
      <c r="G36" s="438"/>
      <c r="H36" s="438"/>
      <c r="I36" s="481"/>
      <c r="J36" s="487"/>
      <c r="K36" s="439"/>
      <c r="L36" s="467"/>
      <c r="M36" s="439"/>
      <c r="N36" s="439"/>
      <c r="O36" s="500" t="str">
        <f>IFERROR(VLOOKUP(J36,'base dados'!$B$2:$E$12,4,FALSE),"")</f>
        <v/>
      </c>
      <c r="P36" s="439"/>
      <c r="Q36" s="438"/>
      <c r="R36" s="438"/>
      <c r="S36" s="438"/>
      <c r="T36" s="438"/>
      <c r="U36" s="438"/>
      <c r="V36" s="438"/>
      <c r="W36" s="493"/>
      <c r="X36" s="500">
        <f t="shared" si="5"/>
        <v>0</v>
      </c>
      <c r="Y36" s="500" t="str">
        <f t="shared" si="0"/>
        <v xml:space="preserve"> X </v>
      </c>
      <c r="Z36" s="500">
        <f>IFERROR(VLOOKUP(Y36,PID!$A$4:$B$247,2,FALSE),0)</f>
        <v>0</v>
      </c>
      <c r="AA36" s="515">
        <f t="shared" si="1"/>
        <v>0</v>
      </c>
      <c r="AB36" s="515">
        <f t="shared" si="2"/>
        <v>0</v>
      </c>
      <c r="AC36" s="498">
        <f>IFERROR(VLOOKUP(I36,'base dados'!$B$2:$D$49,2,FALSE),0)</f>
        <v>0</v>
      </c>
      <c r="AD36" s="498">
        <f t="shared" si="17"/>
        <v>0</v>
      </c>
      <c r="AE36" s="498">
        <f>IFERROR(VLOOKUP(J36,'base dados'!$B$2:$D$49,2,FALSE),0)*AJ36</f>
        <v>0</v>
      </c>
      <c r="AF36" s="498">
        <f t="shared" si="7"/>
        <v>0</v>
      </c>
      <c r="AG36" s="499">
        <f t="shared" si="3"/>
        <v>0</v>
      </c>
      <c r="AH36" s="564"/>
      <c r="AJ36" s="509">
        <v>1</v>
      </c>
    </row>
    <row r="37" spans="2:36" s="482" customFormat="1" ht="51.6" customHeight="1" x14ac:dyDescent="0.2">
      <c r="B37" s="509">
        <f>IFERROR(VLOOKUP(I37,'base dados'!$K$2:$L$3,2,FALSE),0)</f>
        <v>0</v>
      </c>
      <c r="C37" s="509">
        <f>IFERROR(VLOOKUP(J37,'base dados'!$M$2:$N$5,2,FALSE),0)</f>
        <v>0</v>
      </c>
      <c r="D37" s="514">
        <f t="shared" si="8"/>
        <v>29</v>
      </c>
      <c r="E37" s="438"/>
      <c r="F37" s="438"/>
      <c r="G37" s="438"/>
      <c r="H37" s="438"/>
      <c r="I37" s="481"/>
      <c r="J37" s="487"/>
      <c r="K37" s="439"/>
      <c r="L37" s="467"/>
      <c r="M37" s="439"/>
      <c r="N37" s="439"/>
      <c r="O37" s="500" t="str">
        <f>IFERROR(VLOOKUP(J37,'base dados'!$B$2:$E$12,4,FALSE),"")</f>
        <v/>
      </c>
      <c r="P37" s="439"/>
      <c r="Q37" s="438"/>
      <c r="R37" s="438"/>
      <c r="S37" s="438"/>
      <c r="T37" s="438"/>
      <c r="U37" s="438"/>
      <c r="V37" s="438"/>
      <c r="W37" s="493"/>
      <c r="X37" s="500">
        <f t="shared" si="5"/>
        <v>0</v>
      </c>
      <c r="Y37" s="500" t="str">
        <f t="shared" si="0"/>
        <v xml:space="preserve"> X </v>
      </c>
      <c r="Z37" s="500">
        <f>IFERROR(VLOOKUP(Y37,PID!$A$4:$B$247,2,FALSE),0)</f>
        <v>0</v>
      </c>
      <c r="AA37" s="515">
        <f t="shared" si="1"/>
        <v>0</v>
      </c>
      <c r="AB37" s="515">
        <f t="shared" si="2"/>
        <v>0</v>
      </c>
      <c r="AC37" s="498">
        <f>IFERROR(VLOOKUP(I37,'base dados'!$B$2:$D$49,2,FALSE),0)</f>
        <v>0</v>
      </c>
      <c r="AD37" s="498">
        <f t="shared" si="17"/>
        <v>0</v>
      </c>
      <c r="AE37" s="498">
        <f>IFERROR(VLOOKUP(J37,'base dados'!$B$2:$D$49,2,FALSE),0)*AJ37</f>
        <v>0</v>
      </c>
      <c r="AF37" s="498">
        <f t="shared" si="7"/>
        <v>0</v>
      </c>
      <c r="AG37" s="499">
        <f t="shared" si="3"/>
        <v>0</v>
      </c>
      <c r="AH37" s="564"/>
      <c r="AJ37" s="509">
        <v>1</v>
      </c>
    </row>
    <row r="38" spans="2:36" s="482" customFormat="1" ht="51.6" customHeight="1" x14ac:dyDescent="0.2">
      <c r="B38" s="509">
        <f>IFERROR(VLOOKUP(I38,'base dados'!$K$2:$L$3,2,FALSE),0)</f>
        <v>0</v>
      </c>
      <c r="C38" s="509">
        <f>IFERROR(VLOOKUP(J38,'base dados'!$M$2:$N$5,2,FALSE),0)</f>
        <v>0</v>
      </c>
      <c r="D38" s="514">
        <f t="shared" si="8"/>
        <v>30</v>
      </c>
      <c r="E38" s="438"/>
      <c r="F38" s="438"/>
      <c r="G38" s="438"/>
      <c r="H38" s="438"/>
      <c r="I38" s="481"/>
      <c r="J38" s="487"/>
      <c r="K38" s="439"/>
      <c r="L38" s="467"/>
      <c r="M38" s="439"/>
      <c r="N38" s="439"/>
      <c r="O38" s="500" t="str">
        <f>IFERROR(VLOOKUP(J38,'base dados'!$B$2:$E$12,4,FALSE),"")</f>
        <v/>
      </c>
      <c r="P38" s="439"/>
      <c r="Q38" s="438"/>
      <c r="R38" s="438"/>
      <c r="S38" s="438"/>
      <c r="T38" s="438"/>
      <c r="U38" s="438"/>
      <c r="V38" s="438"/>
      <c r="W38" s="493"/>
      <c r="X38" s="500">
        <f t="shared" si="5"/>
        <v>0</v>
      </c>
      <c r="Y38" s="500" t="str">
        <f t="shared" si="0"/>
        <v xml:space="preserve"> X </v>
      </c>
      <c r="Z38" s="500">
        <f>IFERROR(VLOOKUP(Y38,PID!$A$4:$B$247,2,FALSE),0)</f>
        <v>0</v>
      </c>
      <c r="AA38" s="515">
        <f t="shared" si="1"/>
        <v>0</v>
      </c>
      <c r="AB38" s="515">
        <f t="shared" si="2"/>
        <v>0</v>
      </c>
      <c r="AC38" s="498">
        <f>IFERROR(VLOOKUP(I38,'base dados'!$B$2:$D$49,2,FALSE),0)</f>
        <v>0</v>
      </c>
      <c r="AD38" s="498">
        <f t="shared" si="17"/>
        <v>0</v>
      </c>
      <c r="AE38" s="498">
        <f>IFERROR(VLOOKUP(J38,'base dados'!$B$2:$D$49,2,FALSE),0)*AJ38</f>
        <v>0</v>
      </c>
      <c r="AF38" s="498">
        <f t="shared" si="7"/>
        <v>0</v>
      </c>
      <c r="AG38" s="499">
        <f t="shared" si="3"/>
        <v>0</v>
      </c>
      <c r="AH38" s="564"/>
    </row>
    <row r="39" spans="2:36" s="482" customFormat="1" ht="51.6" customHeight="1" x14ac:dyDescent="0.2">
      <c r="B39" s="509">
        <f>IFERROR(VLOOKUP(I39,'base dados'!$K$2:$L$3,2,FALSE),0)</f>
        <v>0</v>
      </c>
      <c r="C39" s="509">
        <f>IFERROR(VLOOKUP(J39,'base dados'!$M$2:$N$5,2,FALSE),0)</f>
        <v>0</v>
      </c>
      <c r="D39" s="514">
        <f t="shared" si="8"/>
        <v>31</v>
      </c>
      <c r="E39" s="438"/>
      <c r="F39" s="438"/>
      <c r="G39" s="438"/>
      <c r="H39" s="438"/>
      <c r="I39" s="481"/>
      <c r="J39" s="487"/>
      <c r="K39" s="439"/>
      <c r="L39" s="467"/>
      <c r="M39" s="439"/>
      <c r="N39" s="439"/>
      <c r="O39" s="500" t="str">
        <f>IFERROR(VLOOKUP(J39,'base dados'!$B$2:$E$12,4,FALSE),"")</f>
        <v/>
      </c>
      <c r="P39" s="439"/>
      <c r="Q39" s="438"/>
      <c r="R39" s="438"/>
      <c r="S39" s="438"/>
      <c r="T39" s="438"/>
      <c r="U39" s="438"/>
      <c r="V39" s="438"/>
      <c r="W39" s="493"/>
      <c r="X39" s="500">
        <f t="shared" si="5"/>
        <v>0</v>
      </c>
      <c r="Y39" s="500" t="str">
        <f t="shared" si="0"/>
        <v xml:space="preserve"> X </v>
      </c>
      <c r="Z39" s="500">
        <f>IFERROR(VLOOKUP(Y39,PID!$A$4:$B$247,2,FALSE),0)</f>
        <v>0</v>
      </c>
      <c r="AA39" s="515">
        <f t="shared" si="1"/>
        <v>0</v>
      </c>
      <c r="AB39" s="515">
        <f t="shared" si="2"/>
        <v>0</v>
      </c>
      <c r="AC39" s="498">
        <f>IFERROR(VLOOKUP(I39,'base dados'!$B$2:$D$49,2,FALSE),0)</f>
        <v>0</v>
      </c>
      <c r="AD39" s="498">
        <f t="shared" si="17"/>
        <v>0</v>
      </c>
      <c r="AE39" s="498">
        <f>IFERROR(VLOOKUP(J39,'base dados'!$B$2:$D$49,2,FALSE),0)*AJ39</f>
        <v>0</v>
      </c>
      <c r="AF39" s="498">
        <f t="shared" si="7"/>
        <v>0</v>
      </c>
      <c r="AG39" s="499">
        <f t="shared" si="3"/>
        <v>0</v>
      </c>
      <c r="AH39" s="564"/>
    </row>
    <row r="40" spans="2:36" s="482" customFormat="1" ht="51.6" customHeight="1" x14ac:dyDescent="0.2">
      <c r="B40" s="509">
        <f>IFERROR(VLOOKUP(I40,'base dados'!$K$2:$L$3,2,FALSE),0)</f>
        <v>0</v>
      </c>
      <c r="C40" s="509">
        <f>IFERROR(VLOOKUP(J40,'base dados'!$M$2:$N$5,2,FALSE),0)</f>
        <v>0</v>
      </c>
      <c r="D40" s="514">
        <f t="shared" si="8"/>
        <v>32</v>
      </c>
      <c r="E40" s="438"/>
      <c r="F40" s="438"/>
      <c r="G40" s="438"/>
      <c r="H40" s="438"/>
      <c r="I40" s="481"/>
      <c r="J40" s="487"/>
      <c r="K40" s="439"/>
      <c r="L40" s="467"/>
      <c r="M40" s="439"/>
      <c r="N40" s="439"/>
      <c r="O40" s="500" t="str">
        <f>IFERROR(VLOOKUP(J40,'base dados'!$B$2:$E$12,4,FALSE),"")</f>
        <v/>
      </c>
      <c r="P40" s="439"/>
      <c r="Q40" s="438"/>
      <c r="R40" s="438"/>
      <c r="S40" s="438"/>
      <c r="T40" s="438"/>
      <c r="U40" s="438"/>
      <c r="V40" s="438"/>
      <c r="W40" s="493"/>
      <c r="X40" s="500">
        <f t="shared" si="5"/>
        <v>0</v>
      </c>
      <c r="Y40" s="500" t="str">
        <f t="shared" si="0"/>
        <v xml:space="preserve"> X </v>
      </c>
      <c r="Z40" s="500">
        <f>IFERROR(VLOOKUP(Y40,PID!$A$4:$B$247,2,FALSE),0)</f>
        <v>0</v>
      </c>
      <c r="AA40" s="515">
        <f t="shared" si="1"/>
        <v>0</v>
      </c>
      <c r="AB40" s="515">
        <f t="shared" si="2"/>
        <v>0</v>
      </c>
      <c r="AC40" s="498">
        <f>IFERROR(VLOOKUP(I40,'base dados'!$B$2:$D$49,2,FALSE),0)</f>
        <v>0</v>
      </c>
      <c r="AD40" s="498">
        <f t="shared" si="17"/>
        <v>0</v>
      </c>
      <c r="AE40" s="498">
        <f>IFERROR(VLOOKUP(J40,'base dados'!$B$2:$D$49,2,FALSE),0)*AJ40</f>
        <v>0</v>
      </c>
      <c r="AF40" s="498">
        <f t="shared" si="7"/>
        <v>0</v>
      </c>
      <c r="AG40" s="499">
        <f t="shared" si="3"/>
        <v>0</v>
      </c>
      <c r="AH40" s="564"/>
    </row>
    <row r="41" spans="2:36" s="482" customFormat="1" ht="51.6" customHeight="1" x14ac:dyDescent="0.2">
      <c r="B41" s="509">
        <f>IFERROR(VLOOKUP(I41,'base dados'!$K$2:$L$3,2,FALSE),0)</f>
        <v>0</v>
      </c>
      <c r="C41" s="509">
        <f>IFERROR(VLOOKUP(J41,'base dados'!$M$2:$N$5,2,FALSE),0)</f>
        <v>0</v>
      </c>
      <c r="D41" s="514">
        <f t="shared" si="8"/>
        <v>33</v>
      </c>
      <c r="E41" s="438"/>
      <c r="F41" s="438"/>
      <c r="G41" s="438"/>
      <c r="H41" s="438"/>
      <c r="I41" s="481"/>
      <c r="J41" s="487"/>
      <c r="K41" s="439"/>
      <c r="L41" s="467"/>
      <c r="M41" s="439"/>
      <c r="N41" s="439"/>
      <c r="O41" s="500" t="str">
        <f>IFERROR(VLOOKUP(J41,'base dados'!$B$2:$E$12,4,FALSE),"")</f>
        <v/>
      </c>
      <c r="P41" s="439"/>
      <c r="Q41" s="438"/>
      <c r="R41" s="438"/>
      <c r="S41" s="438"/>
      <c r="T41" s="438"/>
      <c r="U41" s="438"/>
      <c r="V41" s="438"/>
      <c r="W41" s="493"/>
      <c r="X41" s="500">
        <f t="shared" si="5"/>
        <v>0</v>
      </c>
      <c r="Y41" s="500" t="str">
        <f t="shared" si="0"/>
        <v xml:space="preserve"> X </v>
      </c>
      <c r="Z41" s="500">
        <f>IFERROR(VLOOKUP(Y41,PID!$A$4:$B$247,2,FALSE),0)</f>
        <v>0</v>
      </c>
      <c r="AA41" s="515">
        <f t="shared" si="1"/>
        <v>0</v>
      </c>
      <c r="AB41" s="515">
        <f t="shared" si="2"/>
        <v>0</v>
      </c>
      <c r="AC41" s="498">
        <f>IFERROR(VLOOKUP(I41,'base dados'!$B$2:$D$49,2,FALSE),0)</f>
        <v>0</v>
      </c>
      <c r="AD41" s="498">
        <f t="shared" si="17"/>
        <v>0</v>
      </c>
      <c r="AE41" s="498">
        <f>IFERROR(VLOOKUP(J41,'base dados'!$B$2:$D$49,2,FALSE),0)*AJ41</f>
        <v>0</v>
      </c>
      <c r="AF41" s="498">
        <f t="shared" si="7"/>
        <v>0</v>
      </c>
      <c r="AG41" s="499">
        <f t="shared" si="3"/>
        <v>0</v>
      </c>
      <c r="AH41" s="564"/>
    </row>
    <row r="42" spans="2:36" s="482" customFormat="1" ht="51.6" customHeight="1" x14ac:dyDescent="0.2">
      <c r="B42" s="509">
        <f>IFERROR(VLOOKUP(I42,'base dados'!$K$2:$L$3,2,FALSE),0)</f>
        <v>0</v>
      </c>
      <c r="C42" s="509">
        <f>IFERROR(VLOOKUP(J42,'base dados'!$M$2:$N$5,2,FALSE),0)</f>
        <v>0</v>
      </c>
      <c r="D42" s="514">
        <f t="shared" si="8"/>
        <v>34</v>
      </c>
      <c r="E42" s="438"/>
      <c r="F42" s="438"/>
      <c r="G42" s="438"/>
      <c r="H42" s="438"/>
      <c r="I42" s="481"/>
      <c r="J42" s="487"/>
      <c r="K42" s="439"/>
      <c r="L42" s="467"/>
      <c r="M42" s="439"/>
      <c r="N42" s="439"/>
      <c r="O42" s="500" t="str">
        <f>IFERROR(VLOOKUP(J42,'base dados'!$B$2:$E$12,4,FALSE),"")</f>
        <v/>
      </c>
      <c r="P42" s="439"/>
      <c r="Q42" s="438"/>
      <c r="R42" s="438"/>
      <c r="S42" s="438"/>
      <c r="T42" s="438"/>
      <c r="U42" s="438"/>
      <c r="V42" s="438"/>
      <c r="W42" s="493"/>
      <c r="X42" s="500">
        <f t="shared" si="5"/>
        <v>0</v>
      </c>
      <c r="Y42" s="500" t="str">
        <f t="shared" si="0"/>
        <v xml:space="preserve"> X </v>
      </c>
      <c r="Z42" s="500">
        <f>IFERROR(VLOOKUP(Y42,PID!$A$4:$B$247,2,FALSE),0)</f>
        <v>0</v>
      </c>
      <c r="AA42" s="515">
        <f t="shared" si="1"/>
        <v>0</v>
      </c>
      <c r="AB42" s="515">
        <f t="shared" si="2"/>
        <v>0</v>
      </c>
      <c r="AC42" s="498">
        <f>IFERROR(VLOOKUP(I42,'base dados'!$B$2:$D$49,2,FALSE),0)</f>
        <v>0</v>
      </c>
      <c r="AD42" s="498">
        <f t="shared" si="17"/>
        <v>0</v>
      </c>
      <c r="AE42" s="498">
        <f>IFERROR(VLOOKUP(J42,'base dados'!$B$2:$D$49,2,FALSE),0)*AJ42</f>
        <v>0</v>
      </c>
      <c r="AF42" s="498">
        <f t="shared" si="7"/>
        <v>0</v>
      </c>
      <c r="AG42" s="499">
        <f t="shared" si="3"/>
        <v>0</v>
      </c>
      <c r="AH42" s="564"/>
    </row>
    <row r="43" spans="2:36" s="482" customFormat="1" ht="51.6" customHeight="1" x14ac:dyDescent="0.2">
      <c r="B43" s="509">
        <f>IFERROR(VLOOKUP(I43,'base dados'!$K$2:$L$3,2,FALSE),0)</f>
        <v>0</v>
      </c>
      <c r="C43" s="509">
        <f>IFERROR(VLOOKUP(J43,'base dados'!$M$2:$N$5,2,FALSE),0)</f>
        <v>0</v>
      </c>
      <c r="D43" s="514">
        <f t="shared" si="8"/>
        <v>35</v>
      </c>
      <c r="E43" s="438"/>
      <c r="F43" s="438"/>
      <c r="G43" s="438"/>
      <c r="H43" s="438"/>
      <c r="I43" s="481"/>
      <c r="J43" s="487"/>
      <c r="K43" s="439"/>
      <c r="L43" s="467"/>
      <c r="M43" s="439"/>
      <c r="N43" s="439"/>
      <c r="O43" s="500" t="str">
        <f>IFERROR(VLOOKUP(J43,'base dados'!$B$2:$E$12,4,FALSE),"")</f>
        <v/>
      </c>
      <c r="P43" s="439"/>
      <c r="Q43" s="438"/>
      <c r="R43" s="438"/>
      <c r="S43" s="438"/>
      <c r="T43" s="438"/>
      <c r="U43" s="438"/>
      <c r="V43" s="438"/>
      <c r="W43" s="493"/>
      <c r="X43" s="500">
        <f t="shared" si="5"/>
        <v>0</v>
      </c>
      <c r="Y43" s="500" t="str">
        <f t="shared" si="0"/>
        <v xml:space="preserve"> X </v>
      </c>
      <c r="Z43" s="500">
        <f>IFERROR(VLOOKUP(Y43,PID!$A$4:$B$247,2,FALSE),0)</f>
        <v>0</v>
      </c>
      <c r="AA43" s="515">
        <f t="shared" si="1"/>
        <v>0</v>
      </c>
      <c r="AB43" s="515">
        <f t="shared" si="2"/>
        <v>0</v>
      </c>
      <c r="AC43" s="498">
        <f>IFERROR(VLOOKUP(I43,'base dados'!$B$2:$D$49,2,FALSE),0)</f>
        <v>0</v>
      </c>
      <c r="AD43" s="498">
        <f t="shared" si="17"/>
        <v>0</v>
      </c>
      <c r="AE43" s="498">
        <f>IFERROR(VLOOKUP(J43,'base dados'!$B$2:$D$49,2,FALSE),0)*AJ43</f>
        <v>0</v>
      </c>
      <c r="AF43" s="498">
        <f t="shared" si="7"/>
        <v>0</v>
      </c>
      <c r="AG43" s="499">
        <f t="shared" si="3"/>
        <v>0</v>
      </c>
      <c r="AH43" s="564"/>
    </row>
    <row r="44" spans="2:36" s="482" customFormat="1" ht="51.6" customHeight="1" x14ac:dyDescent="0.2">
      <c r="B44" s="509">
        <f>IFERROR(VLOOKUP(I44,'base dados'!$K$2:$L$3,2,FALSE),0)</f>
        <v>0</v>
      </c>
      <c r="C44" s="509">
        <f>IFERROR(VLOOKUP(J44,'base dados'!$M$2:$N$5,2,FALSE),0)</f>
        <v>0</v>
      </c>
      <c r="D44" s="514">
        <f t="shared" si="8"/>
        <v>36</v>
      </c>
      <c r="E44" s="438"/>
      <c r="F44" s="438"/>
      <c r="G44" s="438"/>
      <c r="H44" s="438"/>
      <c r="I44" s="481"/>
      <c r="J44" s="487"/>
      <c r="K44" s="439"/>
      <c r="L44" s="467"/>
      <c r="M44" s="439"/>
      <c r="N44" s="439"/>
      <c r="O44" s="500" t="str">
        <f>IFERROR(VLOOKUP(J44,'base dados'!$B$2:$E$12,4,FALSE),"")</f>
        <v/>
      </c>
      <c r="P44" s="439"/>
      <c r="Q44" s="438"/>
      <c r="R44" s="438"/>
      <c r="S44" s="438"/>
      <c r="T44" s="438"/>
      <c r="U44" s="438"/>
      <c r="V44" s="438"/>
      <c r="W44" s="493"/>
      <c r="X44" s="500">
        <f t="shared" si="5"/>
        <v>0</v>
      </c>
      <c r="Y44" s="500" t="str">
        <f t="shared" si="0"/>
        <v xml:space="preserve"> X </v>
      </c>
      <c r="Z44" s="500">
        <f>IFERROR(VLOOKUP(Y44,PID!$A$4:$B$247,2,FALSE),0)</f>
        <v>0</v>
      </c>
      <c r="AA44" s="515">
        <f t="shared" si="1"/>
        <v>0</v>
      </c>
      <c r="AB44" s="515">
        <f t="shared" si="2"/>
        <v>0</v>
      </c>
      <c r="AC44" s="498">
        <f>IFERROR(VLOOKUP(I44,'base dados'!$B$2:$D$49,2,FALSE),0)</f>
        <v>0</v>
      </c>
      <c r="AD44" s="498">
        <f t="shared" si="17"/>
        <v>0</v>
      </c>
      <c r="AE44" s="498">
        <f>IFERROR(VLOOKUP(J44,'base dados'!$B$2:$D$49,2,FALSE),0)*AJ44</f>
        <v>0</v>
      </c>
      <c r="AF44" s="498">
        <f t="shared" si="7"/>
        <v>0</v>
      </c>
      <c r="AG44" s="499">
        <f t="shared" si="3"/>
        <v>0</v>
      </c>
      <c r="AH44" s="564"/>
    </row>
    <row r="45" spans="2:36" s="482" customFormat="1" ht="51.6" customHeight="1" x14ac:dyDescent="0.2">
      <c r="B45" s="509">
        <f>IFERROR(VLOOKUP(I45,'base dados'!$K$2:$L$3,2,FALSE),0)</f>
        <v>0</v>
      </c>
      <c r="C45" s="509">
        <f>IFERROR(VLOOKUP(J45,'base dados'!$M$2:$N$5,2,FALSE),0)</f>
        <v>0</v>
      </c>
      <c r="D45" s="514">
        <f t="shared" si="8"/>
        <v>37</v>
      </c>
      <c r="E45" s="438"/>
      <c r="F45" s="438"/>
      <c r="G45" s="438"/>
      <c r="H45" s="438"/>
      <c r="I45" s="481"/>
      <c r="J45" s="487"/>
      <c r="K45" s="439"/>
      <c r="L45" s="467"/>
      <c r="M45" s="439"/>
      <c r="N45" s="439"/>
      <c r="O45" s="500" t="str">
        <f>IFERROR(VLOOKUP(J45,'base dados'!$B$2:$E$12,4,FALSE),"")</f>
        <v/>
      </c>
      <c r="P45" s="439"/>
      <c r="Q45" s="438"/>
      <c r="R45" s="438"/>
      <c r="S45" s="438"/>
      <c r="T45" s="438"/>
      <c r="U45" s="438"/>
      <c r="V45" s="438"/>
      <c r="W45" s="493"/>
      <c r="X45" s="500">
        <f t="shared" si="5"/>
        <v>0</v>
      </c>
      <c r="Y45" s="500" t="str">
        <f t="shared" si="0"/>
        <v xml:space="preserve"> X </v>
      </c>
      <c r="Z45" s="500">
        <f>IFERROR(VLOOKUP(Y45,PID!$A$4:$B$247,2,FALSE),0)</f>
        <v>0</v>
      </c>
      <c r="AA45" s="515">
        <f t="shared" si="1"/>
        <v>0</v>
      </c>
      <c r="AB45" s="515">
        <f t="shared" si="2"/>
        <v>0</v>
      </c>
      <c r="AC45" s="498">
        <f>IFERROR(VLOOKUP(I45,'base dados'!$B$2:$D$49,2,FALSE),0)</f>
        <v>0</v>
      </c>
      <c r="AD45" s="498">
        <f t="shared" si="17"/>
        <v>0</v>
      </c>
      <c r="AE45" s="498">
        <f>IFERROR(VLOOKUP(J45,'base dados'!$B$2:$D$49,2,FALSE),0)*AJ45</f>
        <v>0</v>
      </c>
      <c r="AF45" s="498">
        <f t="shared" si="7"/>
        <v>0</v>
      </c>
      <c r="AG45" s="499">
        <f t="shared" si="3"/>
        <v>0</v>
      </c>
      <c r="AH45" s="564"/>
    </row>
    <row r="46" spans="2:36" s="482" customFormat="1" ht="51.6" customHeight="1" x14ac:dyDescent="0.2">
      <c r="B46" s="509">
        <f>IFERROR(VLOOKUP(I46,'base dados'!$K$2:$L$3,2,FALSE),0)</f>
        <v>0</v>
      </c>
      <c r="C46" s="509">
        <f>IFERROR(VLOOKUP(J46,'base dados'!$M$2:$N$5,2,FALSE),0)</f>
        <v>0</v>
      </c>
      <c r="D46" s="514">
        <f t="shared" si="8"/>
        <v>38</v>
      </c>
      <c r="E46" s="438"/>
      <c r="F46" s="438"/>
      <c r="G46" s="438"/>
      <c r="H46" s="438"/>
      <c r="I46" s="481"/>
      <c r="J46" s="487"/>
      <c r="K46" s="439"/>
      <c r="L46" s="467"/>
      <c r="M46" s="439"/>
      <c r="N46" s="439"/>
      <c r="O46" s="500" t="str">
        <f>IFERROR(VLOOKUP(J46,'base dados'!$B$2:$E$12,4,FALSE),"")</f>
        <v/>
      </c>
      <c r="P46" s="439"/>
      <c r="Q46" s="438"/>
      <c r="R46" s="466"/>
      <c r="S46" s="438"/>
      <c r="T46" s="438"/>
      <c r="U46" s="438"/>
      <c r="V46" s="438"/>
      <c r="W46" s="493"/>
      <c r="X46" s="500">
        <f t="shared" si="5"/>
        <v>0</v>
      </c>
      <c r="Y46" s="500" t="str">
        <f t="shared" si="0"/>
        <v xml:space="preserve"> X </v>
      </c>
      <c r="Z46" s="500">
        <f>IFERROR(VLOOKUP(Y46,PID!$A$4:$B$247,2,FALSE),0)</f>
        <v>0</v>
      </c>
      <c r="AA46" s="515">
        <f t="shared" si="1"/>
        <v>0</v>
      </c>
      <c r="AB46" s="515">
        <f t="shared" si="2"/>
        <v>0</v>
      </c>
      <c r="AC46" s="498">
        <f>IFERROR(VLOOKUP(I46,'base dados'!$B$2:$D$49,2,FALSE),0)</f>
        <v>0</v>
      </c>
      <c r="AD46" s="498">
        <f t="shared" si="17"/>
        <v>0</v>
      </c>
      <c r="AE46" s="498">
        <f>IFERROR(VLOOKUP(J46,'base dados'!$B$2:$D$49,2,FALSE),0)*AJ46</f>
        <v>0</v>
      </c>
      <c r="AF46" s="498">
        <f t="shared" si="7"/>
        <v>0</v>
      </c>
      <c r="AG46" s="499">
        <f t="shared" si="3"/>
        <v>0</v>
      </c>
      <c r="AH46" s="564"/>
    </row>
    <row r="47" spans="2:36" s="482" customFormat="1" ht="51.6" customHeight="1" x14ac:dyDescent="0.2">
      <c r="B47" s="509">
        <f>IFERROR(VLOOKUP(I47,'base dados'!$K$2:$L$3,2,FALSE),0)</f>
        <v>0</v>
      </c>
      <c r="C47" s="509">
        <f>IFERROR(VLOOKUP(J47,'base dados'!$M$2:$N$5,2,FALSE),0)</f>
        <v>0</v>
      </c>
      <c r="D47" s="514">
        <f t="shared" si="8"/>
        <v>39</v>
      </c>
      <c r="E47" s="438"/>
      <c r="F47" s="438"/>
      <c r="G47" s="438"/>
      <c r="H47" s="438"/>
      <c r="I47" s="481"/>
      <c r="J47" s="487"/>
      <c r="K47" s="439"/>
      <c r="L47" s="467"/>
      <c r="M47" s="439"/>
      <c r="N47" s="439"/>
      <c r="O47" s="500" t="str">
        <f>IFERROR(VLOOKUP(J47,'base dados'!$B$2:$E$12,4,FALSE),"")</f>
        <v/>
      </c>
      <c r="P47" s="439"/>
      <c r="Q47" s="438"/>
      <c r="R47" s="466"/>
      <c r="S47" s="438"/>
      <c r="T47" s="438"/>
      <c r="U47" s="438"/>
      <c r="V47" s="438"/>
      <c r="W47" s="493"/>
      <c r="X47" s="500">
        <f t="shared" si="5"/>
        <v>0</v>
      </c>
      <c r="Y47" s="500" t="str">
        <f t="shared" si="0"/>
        <v xml:space="preserve"> X </v>
      </c>
      <c r="Z47" s="500">
        <f>IFERROR(VLOOKUP(Y47,PID!$A$4:$B$247,2,FALSE),0)</f>
        <v>0</v>
      </c>
      <c r="AA47" s="515">
        <f t="shared" si="1"/>
        <v>0</v>
      </c>
      <c r="AB47" s="515">
        <f t="shared" si="2"/>
        <v>0</v>
      </c>
      <c r="AC47" s="498">
        <f>IFERROR(VLOOKUP(I47,'base dados'!$B$2:$D$49,2,FALSE),0)</f>
        <v>0</v>
      </c>
      <c r="AD47" s="498">
        <f t="shared" si="17"/>
        <v>0</v>
      </c>
      <c r="AE47" s="498">
        <f>IFERROR(VLOOKUP(J47,'base dados'!$B$2:$D$49,2,FALSE),0)*AJ47</f>
        <v>0</v>
      </c>
      <c r="AF47" s="498">
        <f t="shared" si="7"/>
        <v>0</v>
      </c>
      <c r="AG47" s="499">
        <f t="shared" si="3"/>
        <v>0</v>
      </c>
      <c r="AH47" s="564"/>
    </row>
    <row r="48" spans="2:36" s="482" customFormat="1" ht="51.6" customHeight="1" x14ac:dyDescent="0.2">
      <c r="B48" s="509">
        <f>IFERROR(VLOOKUP(I48,'base dados'!$K$2:$L$3,2,FALSE),0)</f>
        <v>0</v>
      </c>
      <c r="C48" s="509">
        <f>IFERROR(VLOOKUP(J48,'base dados'!$M$2:$N$5,2,FALSE),0)</f>
        <v>0</v>
      </c>
      <c r="D48" s="514">
        <f t="shared" si="8"/>
        <v>40</v>
      </c>
      <c r="E48" s="438"/>
      <c r="F48" s="438"/>
      <c r="G48" s="438"/>
      <c r="H48" s="438"/>
      <c r="I48" s="481"/>
      <c r="J48" s="487"/>
      <c r="K48" s="439"/>
      <c r="L48" s="467"/>
      <c r="M48" s="439"/>
      <c r="N48" s="439"/>
      <c r="O48" s="500" t="str">
        <f>IFERROR(VLOOKUP(J48,'base dados'!$B$2:$E$12,4,FALSE),"")</f>
        <v/>
      </c>
      <c r="P48" s="439"/>
      <c r="Q48" s="438"/>
      <c r="R48" s="438"/>
      <c r="S48" s="438"/>
      <c r="T48" s="438"/>
      <c r="U48" s="438"/>
      <c r="V48" s="438"/>
      <c r="W48" s="493"/>
      <c r="X48" s="500">
        <f t="shared" si="5"/>
        <v>0</v>
      </c>
      <c r="Y48" s="500" t="str">
        <f t="shared" si="0"/>
        <v xml:space="preserve"> X </v>
      </c>
      <c r="Z48" s="500">
        <f>IFERROR(VLOOKUP(Y48,PID!$A$4:$B$247,2,FALSE),0)</f>
        <v>0</v>
      </c>
      <c r="AA48" s="515">
        <f t="shared" si="1"/>
        <v>0</v>
      </c>
      <c r="AB48" s="515">
        <f t="shared" si="2"/>
        <v>0</v>
      </c>
      <c r="AC48" s="498">
        <f>IFERROR(VLOOKUP(I48,'base dados'!$B$2:$D$49,2,FALSE),0)</f>
        <v>0</v>
      </c>
      <c r="AD48" s="498">
        <f t="shared" si="17"/>
        <v>0</v>
      </c>
      <c r="AE48" s="498">
        <f>IFERROR(VLOOKUP(J48,'base dados'!$B$2:$D$49,2,FALSE),0)*AJ48</f>
        <v>0</v>
      </c>
      <c r="AF48" s="498">
        <f t="shared" si="7"/>
        <v>0</v>
      </c>
      <c r="AG48" s="499">
        <f t="shared" si="3"/>
        <v>0</v>
      </c>
      <c r="AH48" s="564"/>
    </row>
    <row r="49" spans="2:34" s="482" customFormat="1" ht="51.6" customHeight="1" x14ac:dyDescent="0.2">
      <c r="B49" s="509">
        <f>IFERROR(VLOOKUP(I49,'base dados'!$K$2:$L$3,2,FALSE),0)</f>
        <v>0</v>
      </c>
      <c r="C49" s="509">
        <f>IFERROR(VLOOKUP(J49,'base dados'!$M$2:$N$5,2,FALSE),0)</f>
        <v>0</v>
      </c>
      <c r="D49" s="514">
        <f t="shared" si="8"/>
        <v>41</v>
      </c>
      <c r="E49" s="438"/>
      <c r="F49" s="438"/>
      <c r="G49" s="438"/>
      <c r="H49" s="438"/>
      <c r="I49" s="481"/>
      <c r="J49" s="487"/>
      <c r="K49" s="439"/>
      <c r="L49" s="467"/>
      <c r="M49" s="439"/>
      <c r="N49" s="439"/>
      <c r="O49" s="500" t="str">
        <f>IFERROR(VLOOKUP(J49,'base dados'!$B$2:$E$12,4,FALSE),"")</f>
        <v/>
      </c>
      <c r="P49" s="439"/>
      <c r="Q49" s="438"/>
      <c r="R49" s="438"/>
      <c r="S49" s="438"/>
      <c r="T49" s="438"/>
      <c r="U49" s="438"/>
      <c r="V49" s="438"/>
      <c r="W49" s="493"/>
      <c r="X49" s="500">
        <f t="shared" si="5"/>
        <v>0</v>
      </c>
      <c r="Y49" s="500" t="str">
        <f t="shared" si="0"/>
        <v xml:space="preserve"> X </v>
      </c>
      <c r="Z49" s="500">
        <f>IFERROR(VLOOKUP(Y49,PID!$A$4:$B$247,2,FALSE),0)</f>
        <v>0</v>
      </c>
      <c r="AA49" s="515">
        <f t="shared" si="1"/>
        <v>0</v>
      </c>
      <c r="AB49" s="515">
        <f t="shared" si="2"/>
        <v>0</v>
      </c>
      <c r="AC49" s="498">
        <f>IFERROR(VLOOKUP(I49,'base dados'!$B$2:$D$49,2,FALSE),0)</f>
        <v>0</v>
      </c>
      <c r="AD49" s="498">
        <f t="shared" si="17"/>
        <v>0</v>
      </c>
      <c r="AE49" s="498">
        <f>IFERROR(VLOOKUP(J49,'base dados'!$B$2:$D$49,2,FALSE),0)*AJ49</f>
        <v>0</v>
      </c>
      <c r="AF49" s="498">
        <f t="shared" si="7"/>
        <v>0</v>
      </c>
      <c r="AG49" s="499">
        <f t="shared" si="3"/>
        <v>0</v>
      </c>
      <c r="AH49" s="564"/>
    </row>
    <row r="50" spans="2:34" s="482" customFormat="1" ht="51.6" customHeight="1" x14ac:dyDescent="0.2">
      <c r="B50" s="509">
        <f>IFERROR(VLOOKUP(I50,'base dados'!$K$2:$L$3,2,FALSE),0)</f>
        <v>0</v>
      </c>
      <c r="C50" s="509">
        <f>IFERROR(VLOOKUP(J50,'base dados'!$M$2:$N$5,2,FALSE),0)</f>
        <v>0</v>
      </c>
      <c r="D50" s="514">
        <f t="shared" si="8"/>
        <v>42</v>
      </c>
      <c r="E50" s="438"/>
      <c r="F50" s="438"/>
      <c r="G50" s="438"/>
      <c r="H50" s="438"/>
      <c r="I50" s="481"/>
      <c r="J50" s="487"/>
      <c r="K50" s="439"/>
      <c r="L50" s="467"/>
      <c r="M50" s="439"/>
      <c r="N50" s="439"/>
      <c r="O50" s="500" t="str">
        <f>IFERROR(VLOOKUP(J50,'base dados'!$B$2:$E$12,4,FALSE),"")</f>
        <v/>
      </c>
      <c r="P50" s="439"/>
      <c r="Q50" s="438"/>
      <c r="R50" s="438"/>
      <c r="S50" s="438"/>
      <c r="T50" s="438"/>
      <c r="U50" s="438"/>
      <c r="V50" s="438"/>
      <c r="W50" s="493"/>
      <c r="X50" s="500">
        <f t="shared" si="5"/>
        <v>0</v>
      </c>
      <c r="Y50" s="500" t="str">
        <f t="shared" si="0"/>
        <v xml:space="preserve"> X </v>
      </c>
      <c r="Z50" s="500">
        <f>IFERROR(VLOOKUP(Y50,PID!$A$4:$B$247,2,FALSE),0)</f>
        <v>0</v>
      </c>
      <c r="AA50" s="515">
        <f t="shared" si="1"/>
        <v>0</v>
      </c>
      <c r="AB50" s="515">
        <f t="shared" si="2"/>
        <v>0</v>
      </c>
      <c r="AC50" s="498">
        <f>IFERROR(VLOOKUP(I50,'base dados'!$B$2:$D$49,2,FALSE),0)</f>
        <v>0</v>
      </c>
      <c r="AD50" s="498">
        <f t="shared" si="17"/>
        <v>0</v>
      </c>
      <c r="AE50" s="498">
        <f>IFERROR(VLOOKUP(J50,'base dados'!$B$2:$D$49,2,FALSE),0)*AJ50</f>
        <v>0</v>
      </c>
      <c r="AF50" s="498">
        <f t="shared" si="7"/>
        <v>0</v>
      </c>
      <c r="AG50" s="499">
        <f t="shared" si="3"/>
        <v>0</v>
      </c>
      <c r="AH50" s="564"/>
    </row>
    <row r="51" spans="2:34" s="482" customFormat="1" ht="51.6" customHeight="1" x14ac:dyDescent="0.2">
      <c r="B51" s="509">
        <f>IFERROR(VLOOKUP(I51,'base dados'!$K$2:$L$3,2,FALSE),0)</f>
        <v>0</v>
      </c>
      <c r="C51" s="509">
        <f>IFERROR(VLOOKUP(J51,'base dados'!$M$2:$N$5,2,FALSE),0)</f>
        <v>0</v>
      </c>
      <c r="D51" s="514">
        <f t="shared" si="8"/>
        <v>43</v>
      </c>
      <c r="E51" s="438"/>
      <c r="F51" s="438"/>
      <c r="G51" s="438"/>
      <c r="H51" s="438"/>
      <c r="I51" s="481"/>
      <c r="J51" s="487"/>
      <c r="K51" s="439"/>
      <c r="L51" s="467"/>
      <c r="M51" s="439"/>
      <c r="N51" s="439"/>
      <c r="O51" s="500" t="str">
        <f>IFERROR(VLOOKUP(J51,'base dados'!$B$2:$E$12,4,FALSE),"")</f>
        <v/>
      </c>
      <c r="P51" s="439"/>
      <c r="Q51" s="438"/>
      <c r="R51" s="438"/>
      <c r="S51" s="438"/>
      <c r="T51" s="438"/>
      <c r="U51" s="438"/>
      <c r="V51" s="438"/>
      <c r="W51" s="493"/>
      <c r="X51" s="500">
        <f t="shared" si="5"/>
        <v>0</v>
      </c>
      <c r="Y51" s="500" t="str">
        <f t="shared" si="0"/>
        <v xml:space="preserve"> X </v>
      </c>
      <c r="Z51" s="500">
        <f>IFERROR(VLOOKUP(Y51,PID!$A$4:$B$247,2,FALSE),0)</f>
        <v>0</v>
      </c>
      <c r="AA51" s="515">
        <f t="shared" si="1"/>
        <v>0</v>
      </c>
      <c r="AB51" s="515">
        <f t="shared" si="2"/>
        <v>0</v>
      </c>
      <c r="AC51" s="498">
        <f>IFERROR(VLOOKUP(I51,'base dados'!$B$2:$D$49,2,FALSE),0)</f>
        <v>0</v>
      </c>
      <c r="AD51" s="498">
        <f t="shared" si="17"/>
        <v>0</v>
      </c>
      <c r="AE51" s="498">
        <f>IFERROR(VLOOKUP(J51,'base dados'!$B$2:$D$49,2,FALSE),0)*AJ51</f>
        <v>0</v>
      </c>
      <c r="AF51" s="498">
        <f t="shared" si="7"/>
        <v>0</v>
      </c>
      <c r="AG51" s="499">
        <f t="shared" si="3"/>
        <v>0</v>
      </c>
      <c r="AH51" s="564"/>
    </row>
    <row r="52" spans="2:34" s="482" customFormat="1" ht="51.6" customHeight="1" x14ac:dyDescent="0.2">
      <c r="B52" s="509">
        <f>IFERROR(VLOOKUP(I52,'base dados'!$K$2:$L$3,2,FALSE),0)</f>
        <v>0</v>
      </c>
      <c r="C52" s="509">
        <f>IFERROR(VLOOKUP(J52,'base dados'!$M$2:$N$5,2,FALSE),0)</f>
        <v>0</v>
      </c>
      <c r="D52" s="514">
        <f t="shared" si="8"/>
        <v>44</v>
      </c>
      <c r="E52" s="438"/>
      <c r="F52" s="438"/>
      <c r="G52" s="438"/>
      <c r="H52" s="438"/>
      <c r="I52" s="481"/>
      <c r="J52" s="487"/>
      <c r="K52" s="439"/>
      <c r="L52" s="467"/>
      <c r="M52" s="439"/>
      <c r="N52" s="439"/>
      <c r="O52" s="500" t="str">
        <f>IFERROR(VLOOKUP(J52,'base dados'!$B$2:$E$12,4,FALSE),"")</f>
        <v/>
      </c>
      <c r="P52" s="439"/>
      <c r="Q52" s="438"/>
      <c r="R52" s="438"/>
      <c r="S52" s="438"/>
      <c r="T52" s="438"/>
      <c r="U52" s="438"/>
      <c r="V52" s="438"/>
      <c r="W52" s="493"/>
      <c r="X52" s="500">
        <f t="shared" si="5"/>
        <v>0</v>
      </c>
      <c r="Y52" s="500" t="str">
        <f t="shared" si="0"/>
        <v xml:space="preserve"> X </v>
      </c>
      <c r="Z52" s="500">
        <f>IFERROR(VLOOKUP(Y52,PID!$A$4:$B$247,2,FALSE),0)</f>
        <v>0</v>
      </c>
      <c r="AA52" s="515">
        <f t="shared" si="1"/>
        <v>0</v>
      </c>
      <c r="AB52" s="515">
        <f t="shared" si="2"/>
        <v>0</v>
      </c>
      <c r="AC52" s="498">
        <f>IFERROR(VLOOKUP(I52,'base dados'!$B$2:$D$49,2,FALSE),0)</f>
        <v>0</v>
      </c>
      <c r="AD52" s="498">
        <f t="shared" si="17"/>
        <v>0</v>
      </c>
      <c r="AE52" s="498">
        <f>IFERROR(VLOOKUP(J52,'base dados'!$B$2:$D$49,2,FALSE),0)*AJ52</f>
        <v>0</v>
      </c>
      <c r="AF52" s="498">
        <f t="shared" si="7"/>
        <v>0</v>
      </c>
      <c r="AG52" s="499">
        <f t="shared" si="3"/>
        <v>0</v>
      </c>
      <c r="AH52" s="564"/>
    </row>
    <row r="53" spans="2:34" s="482" customFormat="1" ht="51.6" customHeight="1" x14ac:dyDescent="0.2">
      <c r="B53" s="509">
        <f>IFERROR(VLOOKUP(I53,'base dados'!$K$2:$L$3,2,FALSE),0)</f>
        <v>0</v>
      </c>
      <c r="C53" s="509">
        <f>IFERROR(VLOOKUP(J53,'base dados'!$M$2:$N$5,2,FALSE),0)</f>
        <v>0</v>
      </c>
      <c r="D53" s="514">
        <f t="shared" si="8"/>
        <v>45</v>
      </c>
      <c r="E53" s="438"/>
      <c r="F53" s="438"/>
      <c r="G53" s="438"/>
      <c r="H53" s="438"/>
      <c r="I53" s="481"/>
      <c r="J53" s="487"/>
      <c r="K53" s="439"/>
      <c r="L53" s="467"/>
      <c r="M53" s="439"/>
      <c r="N53" s="439"/>
      <c r="O53" s="500" t="str">
        <f>IFERROR(VLOOKUP(J53,'base dados'!$B$2:$E$12,4,FALSE),"")</f>
        <v/>
      </c>
      <c r="P53" s="439"/>
      <c r="Q53" s="438"/>
      <c r="R53" s="438"/>
      <c r="S53" s="438"/>
      <c r="T53" s="438"/>
      <c r="U53" s="438"/>
      <c r="V53" s="438"/>
      <c r="W53" s="493"/>
      <c r="X53" s="500">
        <f t="shared" si="5"/>
        <v>0</v>
      </c>
      <c r="Y53" s="500" t="str">
        <f t="shared" si="0"/>
        <v xml:space="preserve"> X </v>
      </c>
      <c r="Z53" s="500">
        <f>IFERROR(VLOOKUP(Y53,PID!$A$4:$B$247,2,FALSE),0)</f>
        <v>0</v>
      </c>
      <c r="AA53" s="515">
        <f t="shared" si="1"/>
        <v>0</v>
      </c>
      <c r="AB53" s="515">
        <f t="shared" si="2"/>
        <v>0</v>
      </c>
      <c r="AC53" s="498">
        <f>IFERROR(VLOOKUP(I53,'base dados'!$B$2:$D$49,2,FALSE),0)</f>
        <v>0</v>
      </c>
      <c r="AD53" s="498">
        <f t="shared" si="17"/>
        <v>0</v>
      </c>
      <c r="AE53" s="498">
        <f>IFERROR(VLOOKUP(J53,'base dados'!$B$2:$D$49,2,FALSE),0)*AJ53</f>
        <v>0</v>
      </c>
      <c r="AF53" s="498">
        <f t="shared" si="7"/>
        <v>0</v>
      </c>
      <c r="AG53" s="499">
        <f t="shared" si="3"/>
        <v>0</v>
      </c>
      <c r="AH53" s="564"/>
    </row>
    <row r="54" spans="2:34" s="482" customFormat="1" ht="51.6" customHeight="1" x14ac:dyDescent="0.2">
      <c r="B54" s="509">
        <f>IFERROR(VLOOKUP(I54,'base dados'!$K$2:$L$3,2,FALSE),0)</f>
        <v>0</v>
      </c>
      <c r="C54" s="509">
        <f>IFERROR(VLOOKUP(J54,'base dados'!$M$2:$N$5,2,FALSE),0)</f>
        <v>0</v>
      </c>
      <c r="D54" s="514">
        <f t="shared" si="8"/>
        <v>46</v>
      </c>
      <c r="E54" s="438"/>
      <c r="F54" s="438"/>
      <c r="G54" s="438"/>
      <c r="H54" s="438"/>
      <c r="I54" s="481"/>
      <c r="J54" s="487"/>
      <c r="K54" s="439"/>
      <c r="L54" s="467"/>
      <c r="M54" s="439"/>
      <c r="N54" s="439"/>
      <c r="O54" s="500" t="str">
        <f>IFERROR(VLOOKUP(J54,'base dados'!$B$2:$E$12,4,FALSE),"")</f>
        <v/>
      </c>
      <c r="P54" s="439"/>
      <c r="Q54" s="438"/>
      <c r="R54" s="466"/>
      <c r="S54" s="438"/>
      <c r="T54" s="438"/>
      <c r="U54" s="438"/>
      <c r="V54" s="438"/>
      <c r="W54" s="493"/>
      <c r="X54" s="500">
        <f t="shared" si="5"/>
        <v>0</v>
      </c>
      <c r="Y54" s="500" t="str">
        <f t="shared" si="0"/>
        <v xml:space="preserve"> X </v>
      </c>
      <c r="Z54" s="500">
        <f>IFERROR(VLOOKUP(Y54,PID!$A$4:$B$247,2,FALSE),0)</f>
        <v>0</v>
      </c>
      <c r="AA54" s="515">
        <f t="shared" si="1"/>
        <v>0</v>
      </c>
      <c r="AB54" s="515">
        <f t="shared" si="2"/>
        <v>0</v>
      </c>
      <c r="AC54" s="498">
        <f>IFERROR(VLOOKUP(I54,'base dados'!$B$2:$D$49,2,FALSE),0)</f>
        <v>0</v>
      </c>
      <c r="AD54" s="498">
        <f t="shared" si="17"/>
        <v>0</v>
      </c>
      <c r="AE54" s="498">
        <f>IFERROR(VLOOKUP(J54,'base dados'!$B$2:$D$49,2,FALSE),0)*AJ54</f>
        <v>0</v>
      </c>
      <c r="AF54" s="498">
        <f t="shared" si="7"/>
        <v>0</v>
      </c>
      <c r="AG54" s="499">
        <f t="shared" si="3"/>
        <v>0</v>
      </c>
      <c r="AH54" s="564"/>
    </row>
    <row r="55" spans="2:34" s="482" customFormat="1" ht="51.6" customHeight="1" x14ac:dyDescent="0.2">
      <c r="B55" s="509">
        <f>IFERROR(VLOOKUP(I55,'base dados'!$K$2:$L$3,2,FALSE),0)</f>
        <v>0</v>
      </c>
      <c r="C55" s="509">
        <f>IFERROR(VLOOKUP(J55,'base dados'!$M$2:$N$5,2,FALSE),0)</f>
        <v>0</v>
      </c>
      <c r="D55" s="514">
        <f t="shared" si="8"/>
        <v>47</v>
      </c>
      <c r="E55" s="438"/>
      <c r="F55" s="438"/>
      <c r="G55" s="438"/>
      <c r="H55" s="438"/>
      <c r="I55" s="481"/>
      <c r="J55" s="487"/>
      <c r="K55" s="439"/>
      <c r="L55" s="467"/>
      <c r="M55" s="439"/>
      <c r="N55" s="439"/>
      <c r="O55" s="500" t="str">
        <f>IFERROR(VLOOKUP(J55,'base dados'!$B$2:$E$12,4,FALSE),"")</f>
        <v/>
      </c>
      <c r="P55" s="439"/>
      <c r="Q55" s="438"/>
      <c r="R55" s="466"/>
      <c r="S55" s="438"/>
      <c r="T55" s="438"/>
      <c r="U55" s="438"/>
      <c r="V55" s="438"/>
      <c r="W55" s="493"/>
      <c r="X55" s="500">
        <f t="shared" si="5"/>
        <v>0</v>
      </c>
      <c r="Y55" s="500" t="str">
        <f t="shared" si="0"/>
        <v xml:space="preserve"> X </v>
      </c>
      <c r="Z55" s="500">
        <f>IFERROR(VLOOKUP(Y55,PID!$A$4:$B$247,2,FALSE),0)</f>
        <v>0</v>
      </c>
      <c r="AA55" s="515">
        <f t="shared" si="1"/>
        <v>0</v>
      </c>
      <c r="AB55" s="515">
        <f t="shared" si="2"/>
        <v>0</v>
      </c>
      <c r="AC55" s="498">
        <f>IFERROR(VLOOKUP(I55,'base dados'!$B$2:$D$49,2,FALSE),0)</f>
        <v>0</v>
      </c>
      <c r="AD55" s="498">
        <f t="shared" si="17"/>
        <v>0</v>
      </c>
      <c r="AE55" s="498">
        <f>IFERROR(VLOOKUP(J55,'base dados'!$B$2:$D$49,2,FALSE),0)*AJ55</f>
        <v>0</v>
      </c>
      <c r="AF55" s="498">
        <f t="shared" si="7"/>
        <v>0</v>
      </c>
      <c r="AG55" s="499">
        <f t="shared" si="3"/>
        <v>0</v>
      </c>
      <c r="AH55" s="564"/>
    </row>
    <row r="56" spans="2:34" s="482" customFormat="1" ht="51.6" customHeight="1" x14ac:dyDescent="0.2">
      <c r="B56" s="509">
        <f>IFERROR(VLOOKUP(I56,'base dados'!$K$2:$L$3,2,FALSE),0)</f>
        <v>0</v>
      </c>
      <c r="C56" s="509">
        <f>IFERROR(VLOOKUP(J56,'base dados'!$M$2:$N$5,2,FALSE),0)</f>
        <v>0</v>
      </c>
      <c r="D56" s="514">
        <f t="shared" si="8"/>
        <v>48</v>
      </c>
      <c r="E56" s="438"/>
      <c r="F56" s="438"/>
      <c r="G56" s="438"/>
      <c r="H56" s="438"/>
      <c r="I56" s="481"/>
      <c r="J56" s="487"/>
      <c r="K56" s="439"/>
      <c r="L56" s="467"/>
      <c r="M56" s="439"/>
      <c r="N56" s="439"/>
      <c r="O56" s="500" t="str">
        <f>IFERROR(VLOOKUP(J56,'base dados'!$B$2:$E$12,4,FALSE),"")</f>
        <v/>
      </c>
      <c r="P56" s="439"/>
      <c r="Q56" s="438"/>
      <c r="R56" s="438"/>
      <c r="S56" s="438"/>
      <c r="T56" s="438"/>
      <c r="U56" s="438"/>
      <c r="V56" s="438"/>
      <c r="W56" s="493"/>
      <c r="X56" s="500">
        <f t="shared" si="5"/>
        <v>0</v>
      </c>
      <c r="Y56" s="500" t="str">
        <f t="shared" si="0"/>
        <v xml:space="preserve"> X </v>
      </c>
      <c r="Z56" s="500">
        <f>IFERROR(VLOOKUP(Y56,PID!$A$4:$B$247,2,FALSE),0)</f>
        <v>0</v>
      </c>
      <c r="AA56" s="515">
        <f t="shared" si="1"/>
        <v>0</v>
      </c>
      <c r="AB56" s="515">
        <f t="shared" si="2"/>
        <v>0</v>
      </c>
      <c r="AC56" s="498">
        <f>IFERROR(VLOOKUP(I56,'base dados'!$B$2:$D$49,2,FALSE),0)</f>
        <v>0</v>
      </c>
      <c r="AD56" s="498">
        <f t="shared" si="17"/>
        <v>0</v>
      </c>
      <c r="AE56" s="498">
        <f>IFERROR(VLOOKUP(J56,'base dados'!$B$2:$D$49,2,FALSE),0)*AJ56</f>
        <v>0</v>
      </c>
      <c r="AF56" s="498">
        <f t="shared" si="7"/>
        <v>0</v>
      </c>
      <c r="AG56" s="499">
        <f t="shared" si="3"/>
        <v>0</v>
      </c>
      <c r="AH56" s="564"/>
    </row>
    <row r="57" spans="2:34" s="482" customFormat="1" ht="51.6" customHeight="1" x14ac:dyDescent="0.2">
      <c r="B57" s="509">
        <f>IFERROR(VLOOKUP(I57,'base dados'!$K$2:$L$3,2,FALSE),0)</f>
        <v>0</v>
      </c>
      <c r="C57" s="509">
        <f>IFERROR(VLOOKUP(J57,'base dados'!$M$2:$N$5,2,FALSE),0)</f>
        <v>0</v>
      </c>
      <c r="D57" s="514">
        <f t="shared" si="8"/>
        <v>49</v>
      </c>
      <c r="E57" s="438"/>
      <c r="F57" s="438"/>
      <c r="G57" s="438"/>
      <c r="H57" s="438"/>
      <c r="I57" s="481"/>
      <c r="J57" s="487"/>
      <c r="K57" s="439"/>
      <c r="L57" s="467"/>
      <c r="M57" s="439"/>
      <c r="N57" s="439"/>
      <c r="O57" s="500" t="str">
        <f>IFERROR(VLOOKUP(J57,'base dados'!$B$2:$E$12,4,FALSE),"")</f>
        <v/>
      </c>
      <c r="P57" s="439"/>
      <c r="Q57" s="438"/>
      <c r="R57" s="438"/>
      <c r="S57" s="438"/>
      <c r="T57" s="438"/>
      <c r="U57" s="438"/>
      <c r="V57" s="438"/>
      <c r="W57" s="493"/>
      <c r="X57" s="500">
        <f t="shared" si="5"/>
        <v>0</v>
      </c>
      <c r="Y57" s="500" t="str">
        <f t="shared" si="0"/>
        <v xml:space="preserve"> X </v>
      </c>
      <c r="Z57" s="500">
        <f>IFERROR(VLOOKUP(Y57,PID!$A$4:$B$247,2,FALSE),0)</f>
        <v>0</v>
      </c>
      <c r="AA57" s="515">
        <f t="shared" si="1"/>
        <v>0</v>
      </c>
      <c r="AB57" s="515">
        <f t="shared" si="2"/>
        <v>0</v>
      </c>
      <c r="AC57" s="498">
        <f>IFERROR(VLOOKUP(I57,'base dados'!$B$2:$D$49,2,FALSE),0)</f>
        <v>0</v>
      </c>
      <c r="AD57" s="498">
        <f t="shared" si="17"/>
        <v>0</v>
      </c>
      <c r="AE57" s="498">
        <f>IFERROR(VLOOKUP(J57,'base dados'!$B$2:$D$49,2,FALSE),0)*AJ57</f>
        <v>0</v>
      </c>
      <c r="AF57" s="498">
        <f t="shared" si="7"/>
        <v>0</v>
      </c>
      <c r="AG57" s="499">
        <f t="shared" si="3"/>
        <v>0</v>
      </c>
      <c r="AH57" s="564"/>
    </row>
    <row r="58" spans="2:34" s="482" customFormat="1" ht="51.6" customHeight="1" x14ac:dyDescent="0.2">
      <c r="B58" s="509">
        <f>IFERROR(VLOOKUP(I58,'base dados'!$K$2:$L$3,2,FALSE),0)</f>
        <v>0</v>
      </c>
      <c r="C58" s="509">
        <f>IFERROR(VLOOKUP(J58,'base dados'!$M$2:$N$5,2,FALSE),0)</f>
        <v>0</v>
      </c>
      <c r="D58" s="514">
        <f t="shared" si="8"/>
        <v>50</v>
      </c>
      <c r="E58" s="438"/>
      <c r="F58" s="438"/>
      <c r="G58" s="438"/>
      <c r="H58" s="438"/>
      <c r="I58" s="481"/>
      <c r="J58" s="487"/>
      <c r="K58" s="439"/>
      <c r="L58" s="467"/>
      <c r="M58" s="439"/>
      <c r="N58" s="439"/>
      <c r="O58" s="500" t="str">
        <f>IFERROR(VLOOKUP(J58,'base dados'!$B$2:$E$12,4,FALSE),"")</f>
        <v/>
      </c>
      <c r="P58" s="439"/>
      <c r="Q58" s="438"/>
      <c r="R58" s="438"/>
      <c r="S58" s="438"/>
      <c r="T58" s="438"/>
      <c r="U58" s="438"/>
      <c r="V58" s="438"/>
      <c r="W58" s="493"/>
      <c r="X58" s="500">
        <f t="shared" si="5"/>
        <v>0</v>
      </c>
      <c r="Y58" s="500" t="str">
        <f t="shared" si="0"/>
        <v xml:space="preserve"> X </v>
      </c>
      <c r="Z58" s="500">
        <f>IFERROR(VLOOKUP(Y58,PID!$A$4:$B$247,2,FALSE),0)</f>
        <v>0</v>
      </c>
      <c r="AA58" s="515">
        <f t="shared" si="1"/>
        <v>0</v>
      </c>
      <c r="AB58" s="515">
        <f t="shared" si="2"/>
        <v>0</v>
      </c>
      <c r="AC58" s="498">
        <f>IFERROR(VLOOKUP(I58,'base dados'!$B$2:$D$49,2,FALSE),0)</f>
        <v>0</v>
      </c>
      <c r="AD58" s="498">
        <f t="shared" si="17"/>
        <v>0</v>
      </c>
      <c r="AE58" s="498">
        <f>IFERROR(VLOOKUP(J58,'base dados'!$B$2:$D$49,2,FALSE),0)*AJ58</f>
        <v>0</v>
      </c>
      <c r="AF58" s="498">
        <f t="shared" si="7"/>
        <v>0</v>
      </c>
      <c r="AG58" s="499">
        <f t="shared" si="3"/>
        <v>0</v>
      </c>
      <c r="AH58" s="564"/>
    </row>
    <row r="59" spans="2:34" s="482" customFormat="1" ht="51.6" customHeight="1" x14ac:dyDescent="0.2">
      <c r="B59" s="509">
        <f>IFERROR(VLOOKUP(I59,'base dados'!$K$2:$L$3,2,FALSE),0)</f>
        <v>0</v>
      </c>
      <c r="C59" s="509">
        <f>IFERROR(VLOOKUP(J59,'base dados'!$M$2:$N$5,2,FALSE),0)</f>
        <v>0</v>
      </c>
      <c r="D59" s="514">
        <f t="shared" si="8"/>
        <v>51</v>
      </c>
      <c r="E59" s="438"/>
      <c r="F59" s="438"/>
      <c r="G59" s="438"/>
      <c r="H59" s="438"/>
      <c r="I59" s="481"/>
      <c r="J59" s="487"/>
      <c r="K59" s="439"/>
      <c r="L59" s="467"/>
      <c r="M59" s="439"/>
      <c r="N59" s="439"/>
      <c r="O59" s="500" t="str">
        <f>IFERROR(VLOOKUP(J59,'base dados'!$B$2:$E$12,4,FALSE),"")</f>
        <v/>
      </c>
      <c r="P59" s="439"/>
      <c r="Q59" s="438"/>
      <c r="R59" s="438"/>
      <c r="S59" s="438"/>
      <c r="T59" s="438"/>
      <c r="U59" s="438"/>
      <c r="V59" s="438"/>
      <c r="W59" s="493"/>
      <c r="X59" s="500">
        <f>R59+(S59*2)+(U59*1.5)+(T59*1.5)+(V59*2.5)+(W59*1.5)</f>
        <v>0</v>
      </c>
      <c r="Y59" s="500" t="str">
        <f t="shared" si="0"/>
        <v xml:space="preserve"> X </v>
      </c>
      <c r="Z59" s="500">
        <f>IFERROR(VLOOKUP(Y59,PID!$A$4:$B$247,2,FALSE),0)</f>
        <v>0</v>
      </c>
      <c r="AA59" s="515">
        <f t="shared" si="1"/>
        <v>0</v>
      </c>
      <c r="AB59" s="515">
        <f t="shared" si="2"/>
        <v>0</v>
      </c>
      <c r="AC59" s="498">
        <f>IFERROR(VLOOKUP(I59,'base dados'!$B$2:$D$49,2,FALSE),0)</f>
        <v>0</v>
      </c>
      <c r="AD59" s="498">
        <f t="shared" si="17"/>
        <v>0</v>
      </c>
      <c r="AE59" s="498">
        <f>IFERROR(VLOOKUP(J59,'base dados'!$B$2:$D$49,2,FALSE),0)*AJ59</f>
        <v>0</v>
      </c>
      <c r="AF59" s="498">
        <f t="shared" si="7"/>
        <v>0</v>
      </c>
      <c r="AG59" s="499">
        <f t="shared" si="3"/>
        <v>0</v>
      </c>
      <c r="AH59" s="564"/>
    </row>
    <row r="60" spans="2:34" s="482" customFormat="1" ht="51.6" customHeight="1" x14ac:dyDescent="0.2">
      <c r="B60" s="509">
        <f>IFERROR(VLOOKUP(I60,'base dados'!$K$2:$L$3,2,FALSE),0)</f>
        <v>0</v>
      </c>
      <c r="C60" s="509">
        <f>IFERROR(VLOOKUP(J60,'base dados'!$M$2:$N$5,2,FALSE),0)</f>
        <v>0</v>
      </c>
      <c r="D60" s="514">
        <f t="shared" si="8"/>
        <v>52</v>
      </c>
      <c r="E60" s="438"/>
      <c r="F60" s="438"/>
      <c r="G60" s="438"/>
      <c r="H60" s="438"/>
      <c r="I60" s="481"/>
      <c r="J60" s="487"/>
      <c r="K60" s="439"/>
      <c r="L60" s="467"/>
      <c r="M60" s="439"/>
      <c r="N60" s="439"/>
      <c r="O60" s="500" t="str">
        <f>IFERROR(VLOOKUP(J60,'base dados'!$B$2:$E$12,4,FALSE),"")</f>
        <v/>
      </c>
      <c r="P60" s="439"/>
      <c r="Q60" s="438"/>
      <c r="R60" s="438"/>
      <c r="S60" s="438"/>
      <c r="T60" s="438"/>
      <c r="U60" s="438"/>
      <c r="V60" s="438"/>
      <c r="W60" s="493"/>
      <c r="X60" s="500">
        <f t="shared" si="5"/>
        <v>0</v>
      </c>
      <c r="Y60" s="500" t="str">
        <f t="shared" si="0"/>
        <v xml:space="preserve"> X </v>
      </c>
      <c r="Z60" s="500">
        <f>IFERROR(VLOOKUP(Y60,PID!$A$4:$B$247,2,FALSE),0)</f>
        <v>0</v>
      </c>
      <c r="AA60" s="515">
        <f t="shared" si="1"/>
        <v>0</v>
      </c>
      <c r="AB60" s="515">
        <f t="shared" si="2"/>
        <v>0</v>
      </c>
      <c r="AC60" s="498">
        <f>IFERROR(VLOOKUP(I60,'base dados'!$B$2:$D$49,2,FALSE),0)</f>
        <v>0</v>
      </c>
      <c r="AD60" s="498">
        <f t="shared" si="17"/>
        <v>0</v>
      </c>
      <c r="AE60" s="498">
        <f>IFERROR(VLOOKUP(J60,'base dados'!$B$2:$D$49,2,FALSE),0)*AJ60</f>
        <v>0</v>
      </c>
      <c r="AF60" s="498">
        <f t="shared" si="7"/>
        <v>0</v>
      </c>
      <c r="AG60" s="499">
        <f t="shared" si="3"/>
        <v>0</v>
      </c>
      <c r="AH60" s="564"/>
    </row>
    <row r="61" spans="2:34" s="482" customFormat="1" ht="51.6" customHeight="1" x14ac:dyDescent="0.2">
      <c r="B61" s="509">
        <f>IFERROR(VLOOKUP(I61,'base dados'!$K$2:$L$3,2,FALSE),0)</f>
        <v>0</v>
      </c>
      <c r="C61" s="509">
        <f>IFERROR(VLOOKUP(J61,'base dados'!$M$2:$N$5,2,FALSE),0)</f>
        <v>0</v>
      </c>
      <c r="D61" s="514">
        <f t="shared" si="8"/>
        <v>53</v>
      </c>
      <c r="E61" s="438"/>
      <c r="F61" s="438"/>
      <c r="G61" s="438"/>
      <c r="H61" s="438"/>
      <c r="I61" s="481"/>
      <c r="J61" s="487"/>
      <c r="K61" s="439"/>
      <c r="L61" s="467"/>
      <c r="M61" s="439"/>
      <c r="N61" s="439"/>
      <c r="O61" s="500" t="str">
        <f>IFERROR(VLOOKUP(J61,'base dados'!$B$2:$E$12,4,FALSE),"")</f>
        <v/>
      </c>
      <c r="P61" s="439"/>
      <c r="Q61" s="438"/>
      <c r="R61" s="438"/>
      <c r="S61" s="438"/>
      <c r="T61" s="438"/>
      <c r="U61" s="438"/>
      <c r="V61" s="438"/>
      <c r="W61" s="493"/>
      <c r="X61" s="500">
        <f t="shared" si="5"/>
        <v>0</v>
      </c>
      <c r="Y61" s="500" t="str">
        <f t="shared" si="0"/>
        <v xml:space="preserve"> X </v>
      </c>
      <c r="Z61" s="500">
        <f>IFERROR(VLOOKUP(Y61,PID!$A$4:$B$247,2,FALSE),0)</f>
        <v>0</v>
      </c>
      <c r="AA61" s="515">
        <f t="shared" si="1"/>
        <v>0</v>
      </c>
      <c r="AB61" s="515">
        <f t="shared" si="2"/>
        <v>0</v>
      </c>
      <c r="AC61" s="498">
        <f>IFERROR(VLOOKUP(I61,'base dados'!$B$2:$D$49,2,FALSE),0)</f>
        <v>0</v>
      </c>
      <c r="AD61" s="498">
        <f t="shared" si="17"/>
        <v>0</v>
      </c>
      <c r="AE61" s="498">
        <f>IFERROR(VLOOKUP(J61,'base dados'!$B$2:$D$49,2,FALSE),0)*AJ61</f>
        <v>0</v>
      </c>
      <c r="AF61" s="498">
        <f t="shared" si="7"/>
        <v>0</v>
      </c>
      <c r="AG61" s="499">
        <f t="shared" si="3"/>
        <v>0</v>
      </c>
      <c r="AH61" s="564"/>
    </row>
    <row r="62" spans="2:34" s="482" customFormat="1" ht="51.6" customHeight="1" x14ac:dyDescent="0.2">
      <c r="B62" s="509">
        <f>IFERROR(VLOOKUP(I62,'base dados'!$K$2:$L$3,2,FALSE),0)</f>
        <v>0</v>
      </c>
      <c r="C62" s="509">
        <f>IFERROR(VLOOKUP(J62,'base dados'!$M$2:$N$5,2,FALSE),0)</f>
        <v>0</v>
      </c>
      <c r="D62" s="514">
        <f t="shared" si="8"/>
        <v>54</v>
      </c>
      <c r="E62" s="438"/>
      <c r="F62" s="438"/>
      <c r="G62" s="438"/>
      <c r="H62" s="438"/>
      <c r="I62" s="481"/>
      <c r="J62" s="487"/>
      <c r="K62" s="439"/>
      <c r="L62" s="467"/>
      <c r="M62" s="439"/>
      <c r="N62" s="439"/>
      <c r="O62" s="500" t="str">
        <f>IFERROR(VLOOKUP(J62,'base dados'!$B$2:$E$12,4,FALSE),"")</f>
        <v/>
      </c>
      <c r="P62" s="439"/>
      <c r="Q62" s="438"/>
      <c r="R62" s="438"/>
      <c r="S62" s="438"/>
      <c r="T62" s="438"/>
      <c r="U62" s="438"/>
      <c r="V62" s="438"/>
      <c r="W62" s="493"/>
      <c r="X62" s="500">
        <f t="shared" si="5"/>
        <v>0</v>
      </c>
      <c r="Y62" s="500" t="str">
        <f t="shared" si="0"/>
        <v xml:space="preserve"> X </v>
      </c>
      <c r="Z62" s="500">
        <f>IFERROR(VLOOKUP(Y62,PID!$A$4:$B$247,2,FALSE),0)</f>
        <v>0</v>
      </c>
      <c r="AA62" s="515">
        <f t="shared" si="1"/>
        <v>0</v>
      </c>
      <c r="AB62" s="515">
        <f t="shared" si="2"/>
        <v>0</v>
      </c>
      <c r="AC62" s="498">
        <f>IFERROR(VLOOKUP(I62,'base dados'!$B$2:$D$49,2,FALSE),0)</f>
        <v>0</v>
      </c>
      <c r="AD62" s="498">
        <f t="shared" si="17"/>
        <v>0</v>
      </c>
      <c r="AE62" s="498">
        <f>IFERROR(VLOOKUP(J62,'base dados'!$B$2:$D$49,2,FALSE),0)*AJ62</f>
        <v>0</v>
      </c>
      <c r="AF62" s="498">
        <f t="shared" si="7"/>
        <v>0</v>
      </c>
      <c r="AG62" s="499">
        <f t="shared" si="3"/>
        <v>0</v>
      </c>
      <c r="AH62" s="564"/>
    </row>
    <row r="63" spans="2:34" s="482" customFormat="1" ht="51.6" customHeight="1" x14ac:dyDescent="0.2">
      <c r="B63" s="509">
        <f>IFERROR(VLOOKUP(I63,'base dados'!$K$2:$L$3,2,FALSE),0)</f>
        <v>0</v>
      </c>
      <c r="C63" s="509">
        <f>IFERROR(VLOOKUP(J63,'base dados'!$M$2:$N$5,2,FALSE),0)</f>
        <v>0</v>
      </c>
      <c r="D63" s="514">
        <f t="shared" si="8"/>
        <v>55</v>
      </c>
      <c r="E63" s="438"/>
      <c r="F63" s="438"/>
      <c r="G63" s="438"/>
      <c r="H63" s="438"/>
      <c r="I63" s="481"/>
      <c r="J63" s="487"/>
      <c r="K63" s="439"/>
      <c r="L63" s="467"/>
      <c r="M63" s="439"/>
      <c r="N63" s="439"/>
      <c r="O63" s="500" t="str">
        <f>IFERROR(VLOOKUP(J63,'base dados'!$B$2:$E$12,4,FALSE),"")</f>
        <v/>
      </c>
      <c r="P63" s="439"/>
      <c r="Q63" s="438"/>
      <c r="R63" s="438"/>
      <c r="S63" s="438"/>
      <c r="T63" s="438"/>
      <c r="U63" s="438"/>
      <c r="V63" s="438"/>
      <c r="W63" s="493"/>
      <c r="X63" s="500">
        <f t="shared" si="5"/>
        <v>0</v>
      </c>
      <c r="Y63" s="500" t="str">
        <f t="shared" si="0"/>
        <v xml:space="preserve"> X </v>
      </c>
      <c r="Z63" s="500">
        <f>IFERROR(VLOOKUP(Y63,PID!$A$4:$B$247,2,FALSE),0)</f>
        <v>0</v>
      </c>
      <c r="AA63" s="515">
        <f t="shared" si="1"/>
        <v>0</v>
      </c>
      <c r="AB63" s="515">
        <f t="shared" si="2"/>
        <v>0</v>
      </c>
      <c r="AC63" s="498">
        <f>IFERROR(VLOOKUP(I63,'base dados'!$B$2:$D$49,2,FALSE),0)</f>
        <v>0</v>
      </c>
      <c r="AD63" s="498">
        <f t="shared" si="17"/>
        <v>0</v>
      </c>
      <c r="AE63" s="498">
        <f>IFERROR(VLOOKUP(J63,'base dados'!$B$2:$D$49,2,FALSE),0)*AJ63</f>
        <v>0</v>
      </c>
      <c r="AF63" s="498">
        <f t="shared" si="7"/>
        <v>0</v>
      </c>
      <c r="AG63" s="499">
        <f t="shared" si="3"/>
        <v>0</v>
      </c>
      <c r="AH63" s="564"/>
    </row>
    <row r="64" spans="2:34" s="482" customFormat="1" ht="51.6" customHeight="1" x14ac:dyDescent="0.2">
      <c r="B64" s="509">
        <f>IFERROR(VLOOKUP(I64,'base dados'!$K$2:$L$3,2,FALSE),0)</f>
        <v>0</v>
      </c>
      <c r="C64" s="509">
        <f>IFERROR(VLOOKUP(J64,'base dados'!$M$2:$N$5,2,FALSE),0)</f>
        <v>0</v>
      </c>
      <c r="D64" s="514">
        <f t="shared" si="8"/>
        <v>56</v>
      </c>
      <c r="E64" s="438"/>
      <c r="F64" s="438"/>
      <c r="G64" s="438"/>
      <c r="H64" s="438"/>
      <c r="I64" s="481"/>
      <c r="J64" s="487"/>
      <c r="K64" s="439"/>
      <c r="L64" s="467"/>
      <c r="M64" s="439"/>
      <c r="N64" s="439"/>
      <c r="O64" s="500" t="str">
        <f>IFERROR(VLOOKUP(J64,'base dados'!$B$2:$E$12,4,FALSE),"")</f>
        <v/>
      </c>
      <c r="P64" s="439"/>
      <c r="Q64" s="438"/>
      <c r="R64" s="438"/>
      <c r="S64" s="438"/>
      <c r="T64" s="438"/>
      <c r="U64" s="438"/>
      <c r="V64" s="438"/>
      <c r="W64" s="493"/>
      <c r="X64" s="500">
        <f t="shared" si="5"/>
        <v>0</v>
      </c>
      <c r="Y64" s="500" t="str">
        <f t="shared" si="0"/>
        <v xml:space="preserve"> X </v>
      </c>
      <c r="Z64" s="500">
        <f>IFERROR(VLOOKUP(Y64,PID!$A$4:$B$247,2,FALSE),0)</f>
        <v>0</v>
      </c>
      <c r="AA64" s="515">
        <f t="shared" si="1"/>
        <v>0</v>
      </c>
      <c r="AB64" s="515">
        <f t="shared" si="2"/>
        <v>0</v>
      </c>
      <c r="AC64" s="498">
        <f>IFERROR(VLOOKUP(I64,'base dados'!$B$2:$D$49,2,FALSE),0)</f>
        <v>0</v>
      </c>
      <c r="AD64" s="498">
        <f t="shared" si="17"/>
        <v>0</v>
      </c>
      <c r="AE64" s="498">
        <f>IFERROR(VLOOKUP(J64,'base dados'!$B$2:$D$49,2,FALSE),0)*AJ64</f>
        <v>0</v>
      </c>
      <c r="AF64" s="498">
        <f t="shared" si="7"/>
        <v>0</v>
      </c>
      <c r="AG64" s="499">
        <f t="shared" si="3"/>
        <v>0</v>
      </c>
      <c r="AH64" s="564"/>
    </row>
    <row r="65" spans="2:34" s="482" customFormat="1" ht="51.6" customHeight="1" x14ac:dyDescent="0.2">
      <c r="B65" s="509">
        <f>IFERROR(VLOOKUP(I65,'base dados'!$K$2:$L$3,2,FALSE),0)</f>
        <v>0</v>
      </c>
      <c r="C65" s="509">
        <f>IFERROR(VLOOKUP(J65,'base dados'!$M$2:$N$5,2,FALSE),0)</f>
        <v>0</v>
      </c>
      <c r="D65" s="514">
        <f t="shared" si="8"/>
        <v>57</v>
      </c>
      <c r="E65" s="438"/>
      <c r="F65" s="438"/>
      <c r="G65" s="438"/>
      <c r="H65" s="438"/>
      <c r="I65" s="481"/>
      <c r="J65" s="487"/>
      <c r="K65" s="439"/>
      <c r="L65" s="467"/>
      <c r="M65" s="439"/>
      <c r="N65" s="439"/>
      <c r="O65" s="500" t="str">
        <f>IFERROR(VLOOKUP(J65,'base dados'!$B$2:$E$12,4,FALSE),"")</f>
        <v/>
      </c>
      <c r="P65" s="439"/>
      <c r="Q65" s="438"/>
      <c r="R65" s="438"/>
      <c r="S65" s="438"/>
      <c r="T65" s="438"/>
      <c r="U65" s="438"/>
      <c r="V65" s="438"/>
      <c r="W65" s="493"/>
      <c r="X65" s="500">
        <f t="shared" si="5"/>
        <v>0</v>
      </c>
      <c r="Y65" s="500" t="str">
        <f t="shared" si="0"/>
        <v xml:space="preserve"> X </v>
      </c>
      <c r="Z65" s="500">
        <f>IFERROR(VLOOKUP(Y65,PID!$A$4:$B$247,2,FALSE),0)</f>
        <v>0</v>
      </c>
      <c r="AA65" s="515">
        <f t="shared" si="1"/>
        <v>0</v>
      </c>
      <c r="AB65" s="515">
        <f t="shared" si="2"/>
        <v>0</v>
      </c>
      <c r="AC65" s="498">
        <f>IFERROR(VLOOKUP(I65,'base dados'!$B$2:$D$49,2,FALSE),0)</f>
        <v>0</v>
      </c>
      <c r="AD65" s="498">
        <f t="shared" si="17"/>
        <v>0</v>
      </c>
      <c r="AE65" s="498">
        <f>IFERROR(VLOOKUP(J65,'base dados'!$B$2:$D$49,2,FALSE),0)*AJ65</f>
        <v>0</v>
      </c>
      <c r="AF65" s="498">
        <f t="shared" si="7"/>
        <v>0</v>
      </c>
      <c r="AG65" s="499">
        <f t="shared" si="3"/>
        <v>0</v>
      </c>
      <c r="AH65" s="564"/>
    </row>
    <row r="66" spans="2:34" s="482" customFormat="1" ht="51.6" customHeight="1" x14ac:dyDescent="0.2">
      <c r="B66" s="509">
        <f>IFERROR(VLOOKUP(I66,'base dados'!$K$2:$L$3,2,FALSE),0)</f>
        <v>0</v>
      </c>
      <c r="C66" s="509">
        <f>IFERROR(VLOOKUP(J66,'base dados'!$M$2:$N$5,2,FALSE),0)</f>
        <v>0</v>
      </c>
      <c r="D66" s="514">
        <f t="shared" si="8"/>
        <v>58</v>
      </c>
      <c r="E66" s="438"/>
      <c r="F66" s="438"/>
      <c r="G66" s="438"/>
      <c r="H66" s="438"/>
      <c r="I66" s="481"/>
      <c r="J66" s="487"/>
      <c r="K66" s="439"/>
      <c r="L66" s="467"/>
      <c r="M66" s="439"/>
      <c r="N66" s="439"/>
      <c r="O66" s="500" t="str">
        <f>IFERROR(VLOOKUP(J66,'base dados'!$B$2:$E$12,4,FALSE),"")</f>
        <v/>
      </c>
      <c r="P66" s="439"/>
      <c r="Q66" s="438"/>
      <c r="R66" s="438"/>
      <c r="S66" s="438"/>
      <c r="T66" s="438"/>
      <c r="U66" s="438"/>
      <c r="V66" s="438"/>
      <c r="W66" s="493"/>
      <c r="X66" s="500">
        <f t="shared" si="5"/>
        <v>0</v>
      </c>
      <c r="Y66" s="500" t="str">
        <f t="shared" si="0"/>
        <v xml:space="preserve"> X </v>
      </c>
      <c r="Z66" s="500">
        <f>IFERROR(VLOOKUP(Y66,PID!$A$4:$B$247,2,FALSE),0)</f>
        <v>0</v>
      </c>
      <c r="AA66" s="515">
        <f t="shared" si="1"/>
        <v>0</v>
      </c>
      <c r="AB66" s="515">
        <f t="shared" si="2"/>
        <v>0</v>
      </c>
      <c r="AC66" s="498">
        <f>IFERROR(VLOOKUP(I66,'base dados'!$B$2:$D$49,2,FALSE),0)</f>
        <v>0</v>
      </c>
      <c r="AD66" s="498">
        <f t="shared" si="17"/>
        <v>0</v>
      </c>
      <c r="AE66" s="498">
        <f>IFERROR(VLOOKUP(J66,'base dados'!$B$2:$D$49,2,FALSE),0)*AJ66</f>
        <v>0</v>
      </c>
      <c r="AF66" s="498">
        <f t="shared" si="7"/>
        <v>0</v>
      </c>
      <c r="AG66" s="499">
        <f t="shared" si="3"/>
        <v>0</v>
      </c>
      <c r="AH66" s="564"/>
    </row>
    <row r="67" spans="2:34" s="482" customFormat="1" ht="51.6" customHeight="1" x14ac:dyDescent="0.2">
      <c r="B67" s="509">
        <f>IFERROR(VLOOKUP(I67,'base dados'!$K$2:$L$3,2,FALSE),0)</f>
        <v>0</v>
      </c>
      <c r="C67" s="509">
        <f>IFERROR(VLOOKUP(J67,'base dados'!$M$2:$N$5,2,FALSE),0)</f>
        <v>0</v>
      </c>
      <c r="D67" s="514">
        <f t="shared" si="8"/>
        <v>59</v>
      </c>
      <c r="E67" s="438"/>
      <c r="F67" s="438"/>
      <c r="G67" s="438"/>
      <c r="H67" s="438"/>
      <c r="I67" s="481"/>
      <c r="J67" s="487"/>
      <c r="K67" s="439"/>
      <c r="L67" s="467"/>
      <c r="M67" s="439"/>
      <c r="N67" s="439"/>
      <c r="O67" s="500" t="str">
        <f>IFERROR(VLOOKUP(J67,'base dados'!$B$2:$E$12,4,FALSE),"")</f>
        <v/>
      </c>
      <c r="P67" s="439"/>
      <c r="Q67" s="438"/>
      <c r="R67" s="438"/>
      <c r="S67" s="438"/>
      <c r="T67" s="438"/>
      <c r="U67" s="438"/>
      <c r="V67" s="438"/>
      <c r="W67" s="493"/>
      <c r="X67" s="500">
        <f t="shared" si="5"/>
        <v>0</v>
      </c>
      <c r="Y67" s="500" t="str">
        <f t="shared" si="0"/>
        <v xml:space="preserve"> X </v>
      </c>
      <c r="Z67" s="500">
        <f>IFERROR(VLOOKUP(Y67,PID!$A$4:$B$247,2,FALSE),0)</f>
        <v>0</v>
      </c>
      <c r="AA67" s="515">
        <f t="shared" si="1"/>
        <v>0</v>
      </c>
      <c r="AB67" s="515">
        <f t="shared" si="2"/>
        <v>0</v>
      </c>
      <c r="AC67" s="498">
        <f>IFERROR(VLOOKUP(I67,'base dados'!$B$2:$D$49,2,FALSE),0)</f>
        <v>0</v>
      </c>
      <c r="AD67" s="498">
        <f t="shared" si="17"/>
        <v>0</v>
      </c>
      <c r="AE67" s="498">
        <f>IFERROR(VLOOKUP(J67,'base dados'!$B$2:$D$49,2,FALSE),0)*AJ67</f>
        <v>0</v>
      </c>
      <c r="AF67" s="498">
        <f t="shared" si="7"/>
        <v>0</v>
      </c>
      <c r="AG67" s="499">
        <f t="shared" si="3"/>
        <v>0</v>
      </c>
      <c r="AH67" s="564"/>
    </row>
    <row r="68" spans="2:34" s="482" customFormat="1" ht="51.6" customHeight="1" x14ac:dyDescent="0.2">
      <c r="B68" s="509">
        <f>IFERROR(VLOOKUP(I68,'base dados'!$K$2:$L$3,2,FALSE),0)</f>
        <v>0</v>
      </c>
      <c r="C68" s="509">
        <f>IFERROR(VLOOKUP(J68,'base dados'!$M$2:$N$5,2,FALSE),0)</f>
        <v>0</v>
      </c>
      <c r="D68" s="514">
        <f t="shared" si="8"/>
        <v>60</v>
      </c>
      <c r="E68" s="438"/>
      <c r="F68" s="438"/>
      <c r="G68" s="438"/>
      <c r="H68" s="438"/>
      <c r="I68" s="481"/>
      <c r="J68" s="487"/>
      <c r="K68" s="439"/>
      <c r="L68" s="467"/>
      <c r="M68" s="439"/>
      <c r="N68" s="439"/>
      <c r="O68" s="500" t="str">
        <f>IFERROR(VLOOKUP(J68,'base dados'!$B$2:$E$12,4,FALSE),"")</f>
        <v/>
      </c>
      <c r="P68" s="439"/>
      <c r="Q68" s="438"/>
      <c r="R68" s="438"/>
      <c r="S68" s="438"/>
      <c r="T68" s="438"/>
      <c r="U68" s="438"/>
      <c r="V68" s="438"/>
      <c r="W68" s="493"/>
      <c r="X68" s="500">
        <f t="shared" si="5"/>
        <v>0</v>
      </c>
      <c r="Y68" s="500" t="str">
        <f t="shared" si="0"/>
        <v xml:space="preserve"> X </v>
      </c>
      <c r="Z68" s="500">
        <f>IFERROR(VLOOKUP(Y68,PID!$A$4:$B$247,2,FALSE),0)</f>
        <v>0</v>
      </c>
      <c r="AA68" s="515">
        <f t="shared" si="1"/>
        <v>0</v>
      </c>
      <c r="AB68" s="515">
        <f t="shared" si="2"/>
        <v>0</v>
      </c>
      <c r="AC68" s="498">
        <f>IFERROR(VLOOKUP(I68,'base dados'!$B$2:$D$49,2,FALSE),0)</f>
        <v>0</v>
      </c>
      <c r="AD68" s="498">
        <f t="shared" si="17"/>
        <v>0</v>
      </c>
      <c r="AE68" s="498">
        <f>IFERROR(VLOOKUP(J68,'base dados'!$B$2:$D$49,2,FALSE),0)*AJ68</f>
        <v>0</v>
      </c>
      <c r="AF68" s="498">
        <f t="shared" si="7"/>
        <v>0</v>
      </c>
      <c r="AG68" s="499">
        <f t="shared" si="3"/>
        <v>0</v>
      </c>
      <c r="AH68" s="564"/>
    </row>
    <row r="69" spans="2:34" s="482" customFormat="1" ht="51.6" customHeight="1" x14ac:dyDescent="0.2">
      <c r="B69" s="509">
        <f>IFERROR(VLOOKUP(I69,'base dados'!$K$2:$L$3,2,FALSE),0)</f>
        <v>0</v>
      </c>
      <c r="C69" s="509">
        <f>IFERROR(VLOOKUP(J69,'base dados'!$M$2:$N$5,2,FALSE),0)</f>
        <v>0</v>
      </c>
      <c r="D69" s="514">
        <f t="shared" si="8"/>
        <v>61</v>
      </c>
      <c r="E69" s="438"/>
      <c r="F69" s="438"/>
      <c r="G69" s="438"/>
      <c r="H69" s="438"/>
      <c r="I69" s="481"/>
      <c r="J69" s="487"/>
      <c r="K69" s="439"/>
      <c r="L69" s="467"/>
      <c r="M69" s="439"/>
      <c r="N69" s="439"/>
      <c r="O69" s="500" t="str">
        <f>IFERROR(VLOOKUP(J69,'base dados'!$B$2:$E$12,4,FALSE),"")</f>
        <v/>
      </c>
      <c r="P69" s="439"/>
      <c r="Q69" s="438"/>
      <c r="R69" s="438"/>
      <c r="S69" s="438"/>
      <c r="T69" s="438"/>
      <c r="U69" s="438"/>
      <c r="V69" s="438"/>
      <c r="W69" s="493"/>
      <c r="X69" s="500">
        <f t="shared" si="5"/>
        <v>0</v>
      </c>
      <c r="Y69" s="500" t="str">
        <f t="shared" si="0"/>
        <v xml:space="preserve"> X </v>
      </c>
      <c r="Z69" s="500">
        <f>IFERROR(VLOOKUP(Y69,PID!$A$4:$B$247,2,FALSE),0)</f>
        <v>0</v>
      </c>
      <c r="AA69" s="515">
        <f t="shared" si="1"/>
        <v>0</v>
      </c>
      <c r="AB69" s="515">
        <f t="shared" si="2"/>
        <v>0</v>
      </c>
      <c r="AC69" s="498">
        <f>IFERROR(VLOOKUP(I69,'base dados'!$B$2:$D$49,2,FALSE),0)</f>
        <v>0</v>
      </c>
      <c r="AD69" s="498">
        <f t="shared" si="17"/>
        <v>0</v>
      </c>
      <c r="AE69" s="498">
        <f>IFERROR(VLOOKUP(J69,'base dados'!$B$2:$D$49,2,FALSE),0)*AJ69</f>
        <v>0</v>
      </c>
      <c r="AF69" s="498">
        <f t="shared" si="7"/>
        <v>0</v>
      </c>
      <c r="AG69" s="499">
        <f t="shared" si="3"/>
        <v>0</v>
      </c>
      <c r="AH69" s="564"/>
    </row>
    <row r="70" spans="2:34" s="482" customFormat="1" ht="51.6" customHeight="1" x14ac:dyDescent="0.2">
      <c r="B70" s="509">
        <f>IFERROR(VLOOKUP(I70,'base dados'!$K$2:$L$3,2,FALSE),0)</f>
        <v>0</v>
      </c>
      <c r="C70" s="509">
        <f>IFERROR(VLOOKUP(J70,'base dados'!$M$2:$N$5,2,FALSE),0)</f>
        <v>0</v>
      </c>
      <c r="D70" s="514">
        <f t="shared" si="8"/>
        <v>62</v>
      </c>
      <c r="E70" s="438"/>
      <c r="F70" s="438"/>
      <c r="G70" s="438"/>
      <c r="H70" s="438"/>
      <c r="I70" s="481"/>
      <c r="J70" s="487"/>
      <c r="K70" s="439"/>
      <c r="L70" s="467"/>
      <c r="M70" s="439"/>
      <c r="N70" s="439"/>
      <c r="O70" s="500" t="str">
        <f>IFERROR(VLOOKUP(J70,'base dados'!$B$2:$E$12,4,FALSE),"")</f>
        <v/>
      </c>
      <c r="P70" s="439"/>
      <c r="Q70" s="438"/>
      <c r="R70" s="438"/>
      <c r="S70" s="438"/>
      <c r="T70" s="438"/>
      <c r="U70" s="438"/>
      <c r="V70" s="438"/>
      <c r="W70" s="493"/>
      <c r="X70" s="500">
        <f t="shared" si="5"/>
        <v>0</v>
      </c>
      <c r="Y70" s="500" t="str">
        <f t="shared" si="0"/>
        <v xml:space="preserve"> X </v>
      </c>
      <c r="Z70" s="500">
        <f>IFERROR(VLOOKUP(Y70,PID!$A$4:$B$247,2,FALSE),0)</f>
        <v>0</v>
      </c>
      <c r="AA70" s="515">
        <f t="shared" si="1"/>
        <v>0</v>
      </c>
      <c r="AB70" s="515">
        <f t="shared" si="2"/>
        <v>0</v>
      </c>
      <c r="AC70" s="498">
        <f>IFERROR(VLOOKUP(I70,'base dados'!$B$2:$D$49,2,FALSE),0)</f>
        <v>0</v>
      </c>
      <c r="AD70" s="498">
        <f t="shared" si="17"/>
        <v>0</v>
      </c>
      <c r="AE70" s="498">
        <f>IFERROR(VLOOKUP(J70,'base dados'!$B$2:$D$49,2,FALSE),0)*AJ70</f>
        <v>0</v>
      </c>
      <c r="AF70" s="498">
        <f t="shared" si="7"/>
        <v>0</v>
      </c>
      <c r="AG70" s="499">
        <f t="shared" si="3"/>
        <v>0</v>
      </c>
      <c r="AH70" s="564"/>
    </row>
    <row r="71" spans="2:34" s="482" customFormat="1" ht="51.6" customHeight="1" x14ac:dyDescent="0.2">
      <c r="B71" s="509">
        <f>IFERROR(VLOOKUP(I71,'base dados'!$K$2:$L$3,2,FALSE),0)</f>
        <v>0</v>
      </c>
      <c r="C71" s="509">
        <f>IFERROR(VLOOKUP(J71,'base dados'!$M$2:$N$5,2,FALSE),0)</f>
        <v>0</v>
      </c>
      <c r="D71" s="514">
        <f t="shared" si="8"/>
        <v>63</v>
      </c>
      <c r="E71" s="438"/>
      <c r="F71" s="438"/>
      <c r="G71" s="438"/>
      <c r="H71" s="438"/>
      <c r="I71" s="481"/>
      <c r="J71" s="487"/>
      <c r="K71" s="439"/>
      <c r="L71" s="467"/>
      <c r="M71" s="439"/>
      <c r="N71" s="439"/>
      <c r="O71" s="500" t="str">
        <f>IFERROR(VLOOKUP(J71,'base dados'!$B$2:$E$12,4,FALSE),"")</f>
        <v/>
      </c>
      <c r="P71" s="439"/>
      <c r="Q71" s="438"/>
      <c r="R71" s="438"/>
      <c r="S71" s="438"/>
      <c r="T71" s="438"/>
      <c r="U71" s="438"/>
      <c r="V71" s="438"/>
      <c r="W71" s="493"/>
      <c r="X71" s="500">
        <f t="shared" si="5"/>
        <v>0</v>
      </c>
      <c r="Y71" s="500" t="str">
        <f t="shared" si="0"/>
        <v xml:space="preserve"> X </v>
      </c>
      <c r="Z71" s="500">
        <f>IFERROR(VLOOKUP(Y71,PID!$A$4:$B$247,2,FALSE),0)</f>
        <v>0</v>
      </c>
      <c r="AA71" s="515">
        <f t="shared" si="1"/>
        <v>0</v>
      </c>
      <c r="AB71" s="515">
        <f t="shared" si="2"/>
        <v>0</v>
      </c>
      <c r="AC71" s="498">
        <f>IFERROR(VLOOKUP(I71,'base dados'!$B$2:$D$49,2,FALSE),0)</f>
        <v>0</v>
      </c>
      <c r="AD71" s="498">
        <f t="shared" si="17"/>
        <v>0</v>
      </c>
      <c r="AE71" s="498">
        <f>IFERROR(VLOOKUP(J71,'base dados'!$B$2:$D$49,2,FALSE),0)*AJ71</f>
        <v>0</v>
      </c>
      <c r="AF71" s="498">
        <f t="shared" si="7"/>
        <v>0</v>
      </c>
      <c r="AG71" s="499">
        <f t="shared" si="3"/>
        <v>0</v>
      </c>
      <c r="AH71" s="564"/>
    </row>
    <row r="72" spans="2:34" s="482" customFormat="1" ht="51.6" customHeight="1" x14ac:dyDescent="0.2">
      <c r="B72" s="509">
        <f>IFERROR(VLOOKUP(I72,'base dados'!$K$2:$L$3,2,FALSE),0)</f>
        <v>0</v>
      </c>
      <c r="C72" s="509">
        <f>IFERROR(VLOOKUP(J72,'base dados'!$M$2:$N$5,2,FALSE),0)</f>
        <v>0</v>
      </c>
      <c r="D72" s="514">
        <f t="shared" si="8"/>
        <v>64</v>
      </c>
      <c r="E72" s="438"/>
      <c r="F72" s="438"/>
      <c r="G72" s="438"/>
      <c r="H72" s="438"/>
      <c r="I72" s="481"/>
      <c r="J72" s="487"/>
      <c r="K72" s="439"/>
      <c r="L72" s="467"/>
      <c r="M72" s="439"/>
      <c r="N72" s="439"/>
      <c r="O72" s="500" t="str">
        <f>IFERROR(VLOOKUP(J72,'base dados'!$B$2:$E$12,4,FALSE),"")</f>
        <v/>
      </c>
      <c r="P72" s="439"/>
      <c r="Q72" s="438"/>
      <c r="R72" s="438"/>
      <c r="S72" s="438"/>
      <c r="T72" s="438"/>
      <c r="U72" s="438"/>
      <c r="V72" s="438"/>
      <c r="W72" s="493"/>
      <c r="X72" s="500">
        <f t="shared" si="5"/>
        <v>0</v>
      </c>
      <c r="Y72" s="500" t="str">
        <f t="shared" ref="Y72:Y113" si="18">P72&amp;" X "&amp;Q72</f>
        <v xml:space="preserve"> X </v>
      </c>
      <c r="Z72" s="500">
        <f>IFERROR(VLOOKUP(Y72,PID!$A$4:$B$247,2,FALSE),0)</f>
        <v>0</v>
      </c>
      <c r="AA72" s="515">
        <f t="shared" ref="AA72:AA113" si="19">ROUNDDOWN(X72*Z72,3)</f>
        <v>0</v>
      </c>
      <c r="AB72" s="515">
        <f t="shared" ref="AB72:AB113" si="20">AA72*(Q72/1000)</f>
        <v>0</v>
      </c>
      <c r="AC72" s="498">
        <f>IFERROR(VLOOKUP(I72,'base dados'!$B$2:$D$49,2,FALSE),0)</f>
        <v>0</v>
      </c>
      <c r="AD72" s="498">
        <f t="shared" ref="AD72:AD113" si="21">AC72*AB72</f>
        <v>0</v>
      </c>
      <c r="AE72" s="498">
        <f>IFERROR(VLOOKUP(J72,'base dados'!$B$2:$D$49,2,FALSE),0)*AJ72</f>
        <v>0</v>
      </c>
      <c r="AF72" s="498">
        <f t="shared" si="7"/>
        <v>0</v>
      </c>
      <c r="AG72" s="499">
        <f t="shared" ref="AG72:AG113" si="22">AF72+AD72</f>
        <v>0</v>
      </c>
      <c r="AH72" s="564"/>
    </row>
    <row r="73" spans="2:34" s="482" customFormat="1" ht="51.6" customHeight="1" x14ac:dyDescent="0.2">
      <c r="B73" s="509">
        <f>IFERROR(VLOOKUP(I73,'base dados'!$K$2:$L$3,2,FALSE),0)</f>
        <v>0</v>
      </c>
      <c r="C73" s="509">
        <f>IFERROR(VLOOKUP(J73,'base dados'!$M$2:$N$5,2,FALSE),0)</f>
        <v>0</v>
      </c>
      <c r="D73" s="514">
        <f t="shared" si="8"/>
        <v>65</v>
      </c>
      <c r="E73" s="438"/>
      <c r="F73" s="438"/>
      <c r="G73" s="438"/>
      <c r="H73" s="438"/>
      <c r="I73" s="481"/>
      <c r="J73" s="487"/>
      <c r="K73" s="439"/>
      <c r="L73" s="467"/>
      <c r="M73" s="439"/>
      <c r="N73" s="439"/>
      <c r="O73" s="500" t="str">
        <f>IFERROR(VLOOKUP(J73,'base dados'!$B$2:$E$12,4,FALSE),"")</f>
        <v/>
      </c>
      <c r="P73" s="439"/>
      <c r="Q73" s="438"/>
      <c r="R73" s="438"/>
      <c r="S73" s="438"/>
      <c r="T73" s="438"/>
      <c r="U73" s="438"/>
      <c r="V73" s="438"/>
      <c r="W73" s="493"/>
      <c r="X73" s="500">
        <f t="shared" ref="X73:X113" si="23">R73+(S73*2)+(U73*1.5)+(T73*1.5)+(V73*2.5)+(W73*1.5)</f>
        <v>0</v>
      </c>
      <c r="Y73" s="500" t="str">
        <f t="shared" si="18"/>
        <v xml:space="preserve"> X </v>
      </c>
      <c r="Z73" s="500">
        <f>IFERROR(VLOOKUP(Y73,PID!$A$4:$B$247,2,FALSE),0)</f>
        <v>0</v>
      </c>
      <c r="AA73" s="515">
        <f t="shared" si="19"/>
        <v>0</v>
      </c>
      <c r="AB73" s="515">
        <f t="shared" si="20"/>
        <v>0</v>
      </c>
      <c r="AC73" s="498">
        <f>IFERROR(VLOOKUP(I73,'base dados'!$B$2:$D$49,2,FALSE),0)</f>
        <v>0</v>
      </c>
      <c r="AD73" s="498">
        <f t="shared" si="21"/>
        <v>0</v>
      </c>
      <c r="AE73" s="498">
        <f>IFERROR(VLOOKUP(J73,'base dados'!$B$2:$D$49,2,FALSE),0)*AJ73</f>
        <v>0</v>
      </c>
      <c r="AF73" s="498">
        <f t="shared" ref="AF73:AF113" si="24">AE73*AB73</f>
        <v>0</v>
      </c>
      <c r="AG73" s="499">
        <f t="shared" si="22"/>
        <v>0</v>
      </c>
      <c r="AH73" s="564"/>
    </row>
    <row r="74" spans="2:34" s="482" customFormat="1" ht="51.6" customHeight="1" x14ac:dyDescent="0.2">
      <c r="B74" s="509">
        <f>IFERROR(VLOOKUP(I74,'base dados'!$K$2:$L$3,2,FALSE),0)</f>
        <v>0</v>
      </c>
      <c r="C74" s="509">
        <f>IFERROR(VLOOKUP(J74,'base dados'!$M$2:$N$5,2,FALSE),0)</f>
        <v>0</v>
      </c>
      <c r="D74" s="514">
        <f t="shared" si="8"/>
        <v>66</v>
      </c>
      <c r="E74" s="438"/>
      <c r="F74" s="438"/>
      <c r="G74" s="438"/>
      <c r="H74" s="438"/>
      <c r="I74" s="481"/>
      <c r="J74" s="487"/>
      <c r="K74" s="439"/>
      <c r="L74" s="467"/>
      <c r="M74" s="439"/>
      <c r="N74" s="439"/>
      <c r="O74" s="500" t="str">
        <f>IFERROR(VLOOKUP(J74,'base dados'!$B$2:$E$12,4,FALSE),"")</f>
        <v/>
      </c>
      <c r="P74" s="439"/>
      <c r="Q74" s="438"/>
      <c r="R74" s="438"/>
      <c r="S74" s="438"/>
      <c r="T74" s="438"/>
      <c r="U74" s="438"/>
      <c r="V74" s="438"/>
      <c r="W74" s="493"/>
      <c r="X74" s="500">
        <f t="shared" si="23"/>
        <v>0</v>
      </c>
      <c r="Y74" s="500" t="str">
        <f t="shared" si="18"/>
        <v xml:space="preserve"> X </v>
      </c>
      <c r="Z74" s="500">
        <f>IFERROR(VLOOKUP(Y74,PID!$A$4:$B$247,2,FALSE),0)</f>
        <v>0</v>
      </c>
      <c r="AA74" s="515">
        <f t="shared" si="19"/>
        <v>0</v>
      </c>
      <c r="AB74" s="515">
        <f t="shared" si="20"/>
        <v>0</v>
      </c>
      <c r="AC74" s="498">
        <f>IFERROR(VLOOKUP(I74,'base dados'!$B$2:$D$49,2,FALSE),0)</f>
        <v>0</v>
      </c>
      <c r="AD74" s="498">
        <f t="shared" si="21"/>
        <v>0</v>
      </c>
      <c r="AE74" s="498">
        <f>IFERROR(VLOOKUP(J74,'base dados'!$B$2:$D$49,2,FALSE),0)*AJ74</f>
        <v>0</v>
      </c>
      <c r="AF74" s="498">
        <f t="shared" si="24"/>
        <v>0</v>
      </c>
      <c r="AG74" s="499">
        <f t="shared" si="22"/>
        <v>0</v>
      </c>
      <c r="AH74" s="564"/>
    </row>
    <row r="75" spans="2:34" s="482" customFormat="1" ht="51.6" customHeight="1" x14ac:dyDescent="0.2">
      <c r="B75" s="509">
        <f>IFERROR(VLOOKUP(I75,'base dados'!$K$2:$L$3,2,FALSE),0)</f>
        <v>0</v>
      </c>
      <c r="C75" s="509">
        <f>IFERROR(VLOOKUP(J75,'base dados'!$M$2:$N$5,2,FALSE),0)</f>
        <v>0</v>
      </c>
      <c r="D75" s="514">
        <f t="shared" si="8"/>
        <v>67</v>
      </c>
      <c r="E75" s="438"/>
      <c r="F75" s="438"/>
      <c r="G75" s="438"/>
      <c r="H75" s="438"/>
      <c r="I75" s="481"/>
      <c r="J75" s="487"/>
      <c r="K75" s="439"/>
      <c r="L75" s="467"/>
      <c r="M75" s="439"/>
      <c r="N75" s="439"/>
      <c r="O75" s="500" t="str">
        <f>IFERROR(VLOOKUP(J75,'base dados'!$B$2:$E$12,4,FALSE),"")</f>
        <v/>
      </c>
      <c r="P75" s="439"/>
      <c r="Q75" s="438"/>
      <c r="R75" s="438"/>
      <c r="S75" s="438"/>
      <c r="T75" s="438"/>
      <c r="U75" s="438"/>
      <c r="V75" s="438"/>
      <c r="W75" s="493"/>
      <c r="X75" s="500">
        <f t="shared" si="23"/>
        <v>0</v>
      </c>
      <c r="Y75" s="500" t="str">
        <f t="shared" si="18"/>
        <v xml:space="preserve"> X </v>
      </c>
      <c r="Z75" s="500">
        <f>IFERROR(VLOOKUP(Y75,PID!$A$4:$B$247,2,FALSE),0)</f>
        <v>0</v>
      </c>
      <c r="AA75" s="515">
        <f t="shared" si="19"/>
        <v>0</v>
      </c>
      <c r="AB75" s="515">
        <f t="shared" si="20"/>
        <v>0</v>
      </c>
      <c r="AC75" s="498">
        <f>IFERROR(VLOOKUP(I75,'base dados'!$B$2:$D$49,2,FALSE),0)</f>
        <v>0</v>
      </c>
      <c r="AD75" s="498">
        <f t="shared" si="21"/>
        <v>0</v>
      </c>
      <c r="AE75" s="498">
        <f>IFERROR(VLOOKUP(J75,'base dados'!$B$2:$D$49,2,FALSE),0)*AJ75</f>
        <v>0</v>
      </c>
      <c r="AF75" s="498">
        <f t="shared" si="24"/>
        <v>0</v>
      </c>
      <c r="AG75" s="499">
        <f t="shared" si="22"/>
        <v>0</v>
      </c>
      <c r="AH75" s="564"/>
    </row>
    <row r="76" spans="2:34" s="482" customFormat="1" ht="51.6" customHeight="1" x14ac:dyDescent="0.2">
      <c r="B76" s="509">
        <f>IFERROR(VLOOKUP(I76,'base dados'!$K$2:$L$3,2,FALSE),0)</f>
        <v>0</v>
      </c>
      <c r="C76" s="509">
        <f>IFERROR(VLOOKUP(J76,'base dados'!$M$2:$N$5,2,FALSE),0)</f>
        <v>0</v>
      </c>
      <c r="D76" s="514">
        <f t="shared" ref="D76:D113" si="25">ROW()-8</f>
        <v>68</v>
      </c>
      <c r="E76" s="438"/>
      <c r="F76" s="438"/>
      <c r="G76" s="438"/>
      <c r="H76" s="438"/>
      <c r="I76" s="481"/>
      <c r="J76" s="487"/>
      <c r="K76" s="439"/>
      <c r="L76" s="467"/>
      <c r="M76" s="439"/>
      <c r="N76" s="439"/>
      <c r="O76" s="500" t="str">
        <f>IFERROR(VLOOKUP(J76,'base dados'!$B$2:$E$12,4,FALSE),"")</f>
        <v/>
      </c>
      <c r="P76" s="439"/>
      <c r="Q76" s="438"/>
      <c r="R76" s="438"/>
      <c r="S76" s="468"/>
      <c r="T76" s="438"/>
      <c r="U76" s="438"/>
      <c r="V76" s="438"/>
      <c r="W76" s="493"/>
      <c r="X76" s="500">
        <f t="shared" si="23"/>
        <v>0</v>
      </c>
      <c r="Y76" s="500" t="str">
        <f t="shared" si="18"/>
        <v xml:space="preserve"> X </v>
      </c>
      <c r="Z76" s="500">
        <f>IFERROR(VLOOKUP(Y76,PID!$A$4:$B$247,2,FALSE),0)</f>
        <v>0</v>
      </c>
      <c r="AA76" s="515">
        <f t="shared" si="19"/>
        <v>0</v>
      </c>
      <c r="AB76" s="515">
        <f t="shared" si="20"/>
        <v>0</v>
      </c>
      <c r="AC76" s="498">
        <f>IFERROR(VLOOKUP(I76,'base dados'!$B$2:$D$49,2,FALSE),0)</f>
        <v>0</v>
      </c>
      <c r="AD76" s="498">
        <f t="shared" si="21"/>
        <v>0</v>
      </c>
      <c r="AE76" s="498">
        <f>IFERROR(VLOOKUP(J76,'base dados'!$B$2:$D$49,2,FALSE),0)*AJ76</f>
        <v>0</v>
      </c>
      <c r="AF76" s="498">
        <f t="shared" si="24"/>
        <v>0</v>
      </c>
      <c r="AG76" s="499">
        <f t="shared" si="22"/>
        <v>0</v>
      </c>
      <c r="AH76" s="564"/>
    </row>
    <row r="77" spans="2:34" s="482" customFormat="1" ht="51.6" customHeight="1" x14ac:dyDescent="0.2">
      <c r="B77" s="509">
        <f>IFERROR(VLOOKUP(I77,'base dados'!$K$2:$L$3,2,FALSE),0)</f>
        <v>0</v>
      </c>
      <c r="C77" s="509">
        <f>IFERROR(VLOOKUP(J77,'base dados'!$M$2:$N$5,2,FALSE),0)</f>
        <v>0</v>
      </c>
      <c r="D77" s="514">
        <f t="shared" si="25"/>
        <v>69</v>
      </c>
      <c r="E77" s="438"/>
      <c r="F77" s="438"/>
      <c r="G77" s="438"/>
      <c r="H77" s="438"/>
      <c r="I77" s="481"/>
      <c r="J77" s="487"/>
      <c r="K77" s="439"/>
      <c r="L77" s="467"/>
      <c r="M77" s="439"/>
      <c r="N77" s="439"/>
      <c r="O77" s="500" t="str">
        <f>IFERROR(VLOOKUP(J77,'base dados'!$B$2:$E$12,4,FALSE),"")</f>
        <v/>
      </c>
      <c r="P77" s="439"/>
      <c r="Q77" s="438"/>
      <c r="R77" s="438"/>
      <c r="S77" s="468"/>
      <c r="T77" s="438"/>
      <c r="U77" s="438"/>
      <c r="V77" s="438"/>
      <c r="W77" s="493"/>
      <c r="X77" s="500">
        <f t="shared" si="23"/>
        <v>0</v>
      </c>
      <c r="Y77" s="500" t="str">
        <f t="shared" si="18"/>
        <v xml:space="preserve"> X </v>
      </c>
      <c r="Z77" s="500">
        <f>IFERROR(VLOOKUP(Y77,PID!$A$4:$B$247,2,FALSE),0)</f>
        <v>0</v>
      </c>
      <c r="AA77" s="515">
        <f t="shared" si="19"/>
        <v>0</v>
      </c>
      <c r="AB77" s="515">
        <f t="shared" si="20"/>
        <v>0</v>
      </c>
      <c r="AC77" s="498">
        <f>IFERROR(VLOOKUP(I77,'base dados'!$B$2:$D$49,2,FALSE),0)</f>
        <v>0</v>
      </c>
      <c r="AD77" s="498">
        <f t="shared" si="21"/>
        <v>0</v>
      </c>
      <c r="AE77" s="498">
        <f>IFERROR(VLOOKUP(J77,'base dados'!$B$2:$D$49,2,FALSE),0)*AJ77</f>
        <v>0</v>
      </c>
      <c r="AF77" s="498">
        <f t="shared" si="24"/>
        <v>0</v>
      </c>
      <c r="AG77" s="499">
        <f t="shared" si="22"/>
        <v>0</v>
      </c>
      <c r="AH77" s="564"/>
    </row>
    <row r="78" spans="2:34" s="482" customFormat="1" ht="51.6" customHeight="1" x14ac:dyDescent="0.2">
      <c r="B78" s="509">
        <f>IFERROR(VLOOKUP(I78,'base dados'!$K$2:$L$3,2,FALSE),0)</f>
        <v>0</v>
      </c>
      <c r="C78" s="509">
        <f>IFERROR(VLOOKUP(J78,'base dados'!$M$2:$N$5,2,FALSE),0)</f>
        <v>0</v>
      </c>
      <c r="D78" s="514">
        <f t="shared" si="25"/>
        <v>70</v>
      </c>
      <c r="E78" s="438"/>
      <c r="F78" s="438"/>
      <c r="G78" s="438"/>
      <c r="H78" s="438"/>
      <c r="I78" s="481"/>
      <c r="J78" s="487"/>
      <c r="K78" s="439"/>
      <c r="L78" s="467"/>
      <c r="M78" s="439"/>
      <c r="N78" s="439"/>
      <c r="O78" s="500" t="str">
        <f>IFERROR(VLOOKUP(J78,'base dados'!$B$2:$E$12,4,FALSE),"")</f>
        <v/>
      </c>
      <c r="P78" s="439"/>
      <c r="Q78" s="438"/>
      <c r="R78" s="438"/>
      <c r="S78" s="438"/>
      <c r="T78" s="438"/>
      <c r="U78" s="438"/>
      <c r="V78" s="438"/>
      <c r="W78" s="493"/>
      <c r="X78" s="500">
        <f t="shared" si="23"/>
        <v>0</v>
      </c>
      <c r="Y78" s="500" t="str">
        <f t="shared" si="18"/>
        <v xml:space="preserve"> X </v>
      </c>
      <c r="Z78" s="500">
        <f>IFERROR(VLOOKUP(Y78,PID!$A$4:$B$247,2,FALSE),0)</f>
        <v>0</v>
      </c>
      <c r="AA78" s="515">
        <f t="shared" si="19"/>
        <v>0</v>
      </c>
      <c r="AB78" s="515">
        <f t="shared" si="20"/>
        <v>0</v>
      </c>
      <c r="AC78" s="498">
        <f>IFERROR(VLOOKUP(I78,'base dados'!$B$2:$D$49,2,FALSE),0)</f>
        <v>0</v>
      </c>
      <c r="AD78" s="498">
        <f t="shared" si="21"/>
        <v>0</v>
      </c>
      <c r="AE78" s="498">
        <f>IFERROR(VLOOKUP(J78,'base dados'!$B$2:$D$49,2,FALSE),0)*AJ78</f>
        <v>0</v>
      </c>
      <c r="AF78" s="498">
        <f t="shared" si="24"/>
        <v>0</v>
      </c>
      <c r="AG78" s="499">
        <f t="shared" si="22"/>
        <v>0</v>
      </c>
      <c r="AH78" s="564"/>
    </row>
    <row r="79" spans="2:34" s="482" customFormat="1" ht="51.6" customHeight="1" x14ac:dyDescent="0.2">
      <c r="B79" s="509">
        <f>IFERROR(VLOOKUP(I79,'base dados'!$K$2:$L$3,2,FALSE),0)</f>
        <v>0</v>
      </c>
      <c r="C79" s="509">
        <f>IFERROR(VLOOKUP(J79,'base dados'!$M$2:$N$5,2,FALSE),0)</f>
        <v>0</v>
      </c>
      <c r="D79" s="514">
        <f t="shared" si="25"/>
        <v>71</v>
      </c>
      <c r="E79" s="438"/>
      <c r="F79" s="438"/>
      <c r="G79" s="438"/>
      <c r="H79" s="438"/>
      <c r="I79" s="481"/>
      <c r="J79" s="487"/>
      <c r="K79" s="439"/>
      <c r="L79" s="467"/>
      <c r="M79" s="439"/>
      <c r="N79" s="439"/>
      <c r="O79" s="500" t="str">
        <f>IFERROR(VLOOKUP(J79,'base dados'!$B$2:$E$12,4,FALSE),"")</f>
        <v/>
      </c>
      <c r="P79" s="439"/>
      <c r="Q79" s="438"/>
      <c r="R79" s="438"/>
      <c r="S79" s="438"/>
      <c r="T79" s="438"/>
      <c r="U79" s="438"/>
      <c r="V79" s="438"/>
      <c r="W79" s="493"/>
      <c r="X79" s="500">
        <f t="shared" si="23"/>
        <v>0</v>
      </c>
      <c r="Y79" s="500" t="str">
        <f t="shared" si="18"/>
        <v xml:space="preserve"> X </v>
      </c>
      <c r="Z79" s="500">
        <f>IFERROR(VLOOKUP(Y79,PID!$A$4:$B$247,2,FALSE),0)</f>
        <v>0</v>
      </c>
      <c r="AA79" s="515">
        <f t="shared" si="19"/>
        <v>0</v>
      </c>
      <c r="AB79" s="515">
        <f t="shared" si="20"/>
        <v>0</v>
      </c>
      <c r="AC79" s="498">
        <f>IFERROR(VLOOKUP(I79,'base dados'!$B$2:$D$49,2,FALSE),0)</f>
        <v>0</v>
      </c>
      <c r="AD79" s="498">
        <f t="shared" si="21"/>
        <v>0</v>
      </c>
      <c r="AE79" s="498">
        <f>IFERROR(VLOOKUP(J79,'base dados'!$B$2:$D$49,2,FALSE),0)*AJ79</f>
        <v>0</v>
      </c>
      <c r="AF79" s="498">
        <f t="shared" si="24"/>
        <v>0</v>
      </c>
      <c r="AG79" s="499">
        <f t="shared" si="22"/>
        <v>0</v>
      </c>
      <c r="AH79" s="564"/>
    </row>
    <row r="80" spans="2:34" s="482" customFormat="1" ht="51.6" customHeight="1" x14ac:dyDescent="0.2">
      <c r="B80" s="509">
        <f>IFERROR(VLOOKUP(I80,'base dados'!$K$2:$L$3,2,FALSE),0)</f>
        <v>0</v>
      </c>
      <c r="C80" s="509">
        <f>IFERROR(VLOOKUP(J80,'base dados'!$M$2:$N$5,2,FALSE),0)</f>
        <v>0</v>
      </c>
      <c r="D80" s="514">
        <f t="shared" si="25"/>
        <v>72</v>
      </c>
      <c r="E80" s="438"/>
      <c r="F80" s="438"/>
      <c r="G80" s="438"/>
      <c r="H80" s="438"/>
      <c r="I80" s="481"/>
      <c r="J80" s="487"/>
      <c r="K80" s="439"/>
      <c r="L80" s="467"/>
      <c r="M80" s="439"/>
      <c r="N80" s="439"/>
      <c r="O80" s="500" t="str">
        <f>IFERROR(VLOOKUP(J80,'base dados'!$B$2:$E$12,4,FALSE),"")</f>
        <v/>
      </c>
      <c r="P80" s="439"/>
      <c r="Q80" s="439"/>
      <c r="R80" s="438"/>
      <c r="S80" s="438"/>
      <c r="T80" s="438"/>
      <c r="U80" s="438"/>
      <c r="V80" s="438"/>
      <c r="W80" s="493"/>
      <c r="X80" s="500">
        <f t="shared" si="23"/>
        <v>0</v>
      </c>
      <c r="Y80" s="500" t="str">
        <f t="shared" si="18"/>
        <v xml:space="preserve"> X </v>
      </c>
      <c r="Z80" s="500">
        <f>IFERROR(VLOOKUP(Y80,PID!$A$4:$B$247,2,FALSE),0)</f>
        <v>0</v>
      </c>
      <c r="AA80" s="515">
        <f t="shared" si="19"/>
        <v>0</v>
      </c>
      <c r="AB80" s="515">
        <f t="shared" si="20"/>
        <v>0</v>
      </c>
      <c r="AC80" s="498">
        <f>IFERROR(VLOOKUP(I80,'base dados'!$B$2:$D$49,2,FALSE),0)</f>
        <v>0</v>
      </c>
      <c r="AD80" s="498">
        <f t="shared" si="21"/>
        <v>0</v>
      </c>
      <c r="AE80" s="498">
        <f>IFERROR(VLOOKUP(J80,'base dados'!$B$2:$D$49,2,FALSE),0)*AJ80</f>
        <v>0</v>
      </c>
      <c r="AF80" s="498">
        <f t="shared" si="24"/>
        <v>0</v>
      </c>
      <c r="AG80" s="499">
        <f t="shared" si="22"/>
        <v>0</v>
      </c>
      <c r="AH80" s="564"/>
    </row>
    <row r="81" spans="2:34" s="482" customFormat="1" ht="51.6" customHeight="1" x14ac:dyDescent="0.2">
      <c r="B81" s="509">
        <f>IFERROR(VLOOKUP(I81,'base dados'!$K$2:$L$3,2,FALSE),0)</f>
        <v>0</v>
      </c>
      <c r="C81" s="509">
        <f>IFERROR(VLOOKUP(J81,'base dados'!$M$2:$N$5,2,FALSE),0)</f>
        <v>0</v>
      </c>
      <c r="D81" s="514">
        <f t="shared" si="25"/>
        <v>73</v>
      </c>
      <c r="E81" s="438"/>
      <c r="F81" s="438"/>
      <c r="G81" s="438"/>
      <c r="H81" s="438"/>
      <c r="I81" s="481"/>
      <c r="J81" s="487"/>
      <c r="K81" s="439"/>
      <c r="L81" s="467"/>
      <c r="M81" s="439"/>
      <c r="N81" s="439"/>
      <c r="O81" s="500" t="str">
        <f>IFERROR(VLOOKUP(J81,'base dados'!$B$2:$E$12,4,FALSE),"")</f>
        <v/>
      </c>
      <c r="P81" s="439"/>
      <c r="Q81" s="438"/>
      <c r="R81" s="438"/>
      <c r="S81" s="438"/>
      <c r="T81" s="438"/>
      <c r="U81" s="438"/>
      <c r="V81" s="438"/>
      <c r="W81" s="493"/>
      <c r="X81" s="500">
        <f t="shared" si="23"/>
        <v>0</v>
      </c>
      <c r="Y81" s="500" t="str">
        <f t="shared" si="18"/>
        <v xml:space="preserve"> X </v>
      </c>
      <c r="Z81" s="500">
        <f>IFERROR(VLOOKUP(Y81,PID!$A$4:$B$247,2,FALSE),0)</f>
        <v>0</v>
      </c>
      <c r="AA81" s="515">
        <f t="shared" si="19"/>
        <v>0</v>
      </c>
      <c r="AB81" s="515">
        <f t="shared" si="20"/>
        <v>0</v>
      </c>
      <c r="AC81" s="498">
        <f>IFERROR(VLOOKUP(I81,'base dados'!$B$2:$D$49,2,FALSE),0)</f>
        <v>0</v>
      </c>
      <c r="AD81" s="498">
        <f t="shared" si="21"/>
        <v>0</v>
      </c>
      <c r="AE81" s="498">
        <f>IFERROR(VLOOKUP(J81,'base dados'!$B$2:$D$49,2,FALSE),0)*AJ81</f>
        <v>0</v>
      </c>
      <c r="AF81" s="498">
        <f t="shared" si="24"/>
        <v>0</v>
      </c>
      <c r="AG81" s="499">
        <f t="shared" si="22"/>
        <v>0</v>
      </c>
      <c r="AH81" s="564"/>
    </row>
    <row r="82" spans="2:34" s="482" customFormat="1" ht="51.6" customHeight="1" x14ac:dyDescent="0.2">
      <c r="B82" s="509">
        <f>IFERROR(VLOOKUP(I82,'base dados'!$K$2:$L$3,2,FALSE),0)</f>
        <v>0</v>
      </c>
      <c r="C82" s="509">
        <f>IFERROR(VLOOKUP(J82,'base dados'!$M$2:$N$5,2,FALSE),0)</f>
        <v>0</v>
      </c>
      <c r="D82" s="514">
        <f t="shared" si="25"/>
        <v>74</v>
      </c>
      <c r="E82" s="438"/>
      <c r="F82" s="438"/>
      <c r="G82" s="438"/>
      <c r="H82" s="438"/>
      <c r="I82" s="481"/>
      <c r="J82" s="487"/>
      <c r="K82" s="439"/>
      <c r="L82" s="467"/>
      <c r="M82" s="439"/>
      <c r="N82" s="439"/>
      <c r="O82" s="500" t="str">
        <f>IFERROR(VLOOKUP(J82,'base dados'!$B$2:$E$12,4,FALSE),"")</f>
        <v/>
      </c>
      <c r="P82" s="439"/>
      <c r="Q82" s="438"/>
      <c r="R82" s="438"/>
      <c r="S82" s="438"/>
      <c r="T82" s="438"/>
      <c r="U82" s="438"/>
      <c r="V82" s="438"/>
      <c r="W82" s="493"/>
      <c r="X82" s="500">
        <f t="shared" si="23"/>
        <v>0</v>
      </c>
      <c r="Y82" s="500" t="str">
        <f t="shared" si="18"/>
        <v xml:space="preserve"> X </v>
      </c>
      <c r="Z82" s="500">
        <f>IFERROR(VLOOKUP(Y82,PID!$A$4:$B$247,2,FALSE),0)</f>
        <v>0</v>
      </c>
      <c r="AA82" s="515">
        <f t="shared" si="19"/>
        <v>0</v>
      </c>
      <c r="AB82" s="515">
        <f t="shared" si="20"/>
        <v>0</v>
      </c>
      <c r="AC82" s="498">
        <f>IFERROR(VLOOKUP(I82,'base dados'!$B$2:$D$49,2,FALSE),0)</f>
        <v>0</v>
      </c>
      <c r="AD82" s="498">
        <f t="shared" si="21"/>
        <v>0</v>
      </c>
      <c r="AE82" s="498">
        <f>IFERROR(VLOOKUP(J82,'base dados'!$B$2:$D$49,2,FALSE),0)*AJ82</f>
        <v>0</v>
      </c>
      <c r="AF82" s="498">
        <f t="shared" si="24"/>
        <v>0</v>
      </c>
      <c r="AG82" s="499">
        <f t="shared" si="22"/>
        <v>0</v>
      </c>
      <c r="AH82" s="564"/>
    </row>
    <row r="83" spans="2:34" s="482" customFormat="1" ht="51.6" customHeight="1" x14ac:dyDescent="0.2">
      <c r="B83" s="509">
        <f>IFERROR(VLOOKUP(I83,'base dados'!$K$2:$L$3,2,FALSE),0)</f>
        <v>0</v>
      </c>
      <c r="C83" s="509">
        <f>IFERROR(VLOOKUP(J83,'base dados'!$M$2:$N$5,2,FALSE),0)</f>
        <v>0</v>
      </c>
      <c r="D83" s="514">
        <f t="shared" si="25"/>
        <v>75</v>
      </c>
      <c r="E83" s="438"/>
      <c r="F83" s="438"/>
      <c r="G83" s="438"/>
      <c r="H83" s="438"/>
      <c r="I83" s="481"/>
      <c r="J83" s="487"/>
      <c r="K83" s="439"/>
      <c r="L83" s="467"/>
      <c r="M83" s="439"/>
      <c r="N83" s="439"/>
      <c r="O83" s="500" t="str">
        <f>IFERROR(VLOOKUP(J83,'base dados'!$B$2:$E$12,4,FALSE),"")</f>
        <v/>
      </c>
      <c r="P83" s="439"/>
      <c r="Q83" s="438"/>
      <c r="R83" s="438"/>
      <c r="S83" s="438"/>
      <c r="T83" s="438"/>
      <c r="U83" s="438"/>
      <c r="V83" s="438"/>
      <c r="W83" s="493"/>
      <c r="X83" s="500">
        <f t="shared" si="23"/>
        <v>0</v>
      </c>
      <c r="Y83" s="500" t="str">
        <f t="shared" si="18"/>
        <v xml:space="preserve"> X </v>
      </c>
      <c r="Z83" s="500">
        <f>IFERROR(VLOOKUP(Y83,PID!$A$4:$B$247,2,FALSE),0)</f>
        <v>0</v>
      </c>
      <c r="AA83" s="515">
        <f t="shared" si="19"/>
        <v>0</v>
      </c>
      <c r="AB83" s="515">
        <f t="shared" si="20"/>
        <v>0</v>
      </c>
      <c r="AC83" s="498">
        <f>IFERROR(VLOOKUP(I83,'base dados'!$B$2:$D$49,2,FALSE),0)</f>
        <v>0</v>
      </c>
      <c r="AD83" s="498">
        <f t="shared" si="21"/>
        <v>0</v>
      </c>
      <c r="AE83" s="498">
        <f>IFERROR(VLOOKUP(J83,'base dados'!$B$2:$D$49,2,FALSE),0)*AJ83</f>
        <v>0</v>
      </c>
      <c r="AF83" s="498">
        <f t="shared" si="24"/>
        <v>0</v>
      </c>
      <c r="AG83" s="499">
        <f t="shared" si="22"/>
        <v>0</v>
      </c>
      <c r="AH83" s="564"/>
    </row>
    <row r="84" spans="2:34" s="482" customFormat="1" ht="51.6" customHeight="1" x14ac:dyDescent="0.2">
      <c r="B84" s="509">
        <f>IFERROR(VLOOKUP(I84,'base dados'!$K$2:$L$3,2,FALSE),0)</f>
        <v>0</v>
      </c>
      <c r="C84" s="509">
        <f>IFERROR(VLOOKUP(J84,'base dados'!$M$2:$N$5,2,FALSE),0)</f>
        <v>0</v>
      </c>
      <c r="D84" s="514">
        <f t="shared" si="25"/>
        <v>76</v>
      </c>
      <c r="E84" s="438"/>
      <c r="F84" s="438"/>
      <c r="G84" s="438"/>
      <c r="H84" s="438"/>
      <c r="I84" s="481"/>
      <c r="J84" s="487"/>
      <c r="K84" s="439"/>
      <c r="L84" s="467"/>
      <c r="M84" s="439"/>
      <c r="N84" s="439"/>
      <c r="O84" s="500" t="str">
        <f>IFERROR(VLOOKUP(J84,'base dados'!$B$2:$E$12,4,FALSE),"")</f>
        <v/>
      </c>
      <c r="P84" s="439"/>
      <c r="Q84" s="438"/>
      <c r="R84" s="466"/>
      <c r="S84" s="438"/>
      <c r="T84" s="438"/>
      <c r="U84" s="438"/>
      <c r="V84" s="438"/>
      <c r="W84" s="493"/>
      <c r="X84" s="500">
        <f t="shared" si="23"/>
        <v>0</v>
      </c>
      <c r="Y84" s="500" t="str">
        <f t="shared" si="18"/>
        <v xml:space="preserve"> X </v>
      </c>
      <c r="Z84" s="500">
        <f>IFERROR(VLOOKUP(Y84,PID!$A$4:$B$247,2,FALSE),0)</f>
        <v>0</v>
      </c>
      <c r="AA84" s="515">
        <f t="shared" si="19"/>
        <v>0</v>
      </c>
      <c r="AB84" s="515">
        <f t="shared" si="20"/>
        <v>0</v>
      </c>
      <c r="AC84" s="498">
        <f>IFERROR(VLOOKUP(I84,'base dados'!$B$2:$D$49,2,FALSE),0)</f>
        <v>0</v>
      </c>
      <c r="AD84" s="498">
        <f t="shared" si="21"/>
        <v>0</v>
      </c>
      <c r="AE84" s="498">
        <f>IFERROR(VLOOKUP(J84,'base dados'!$B$2:$D$49,2,FALSE),0)*AJ84</f>
        <v>0</v>
      </c>
      <c r="AF84" s="498">
        <f t="shared" si="24"/>
        <v>0</v>
      </c>
      <c r="AG84" s="499">
        <f t="shared" si="22"/>
        <v>0</v>
      </c>
      <c r="AH84" s="564"/>
    </row>
    <row r="85" spans="2:34" s="482" customFormat="1" ht="51.6" customHeight="1" x14ac:dyDescent="0.2">
      <c r="B85" s="509">
        <f>IFERROR(VLOOKUP(I85,'base dados'!$K$2:$L$3,2,FALSE),0)</f>
        <v>0</v>
      </c>
      <c r="C85" s="509">
        <f>IFERROR(VLOOKUP(J85,'base dados'!$M$2:$N$5,2,FALSE),0)</f>
        <v>0</v>
      </c>
      <c r="D85" s="514">
        <f t="shared" si="25"/>
        <v>77</v>
      </c>
      <c r="E85" s="438"/>
      <c r="F85" s="438"/>
      <c r="G85" s="438"/>
      <c r="H85" s="438"/>
      <c r="I85" s="481"/>
      <c r="J85" s="487"/>
      <c r="K85" s="439"/>
      <c r="L85" s="467"/>
      <c r="M85" s="439"/>
      <c r="N85" s="439"/>
      <c r="O85" s="500" t="str">
        <f>IFERROR(VLOOKUP(J85,'base dados'!$B$2:$E$12,4,FALSE),"")</f>
        <v/>
      </c>
      <c r="P85" s="439"/>
      <c r="Q85" s="438"/>
      <c r="R85" s="466"/>
      <c r="S85" s="438"/>
      <c r="T85" s="438"/>
      <c r="U85" s="438"/>
      <c r="V85" s="438"/>
      <c r="W85" s="493"/>
      <c r="X85" s="500">
        <f t="shared" si="23"/>
        <v>0</v>
      </c>
      <c r="Y85" s="500" t="str">
        <f t="shared" si="18"/>
        <v xml:space="preserve"> X </v>
      </c>
      <c r="Z85" s="500">
        <f>IFERROR(VLOOKUP(Y85,PID!$A$4:$B$247,2,FALSE),0)</f>
        <v>0</v>
      </c>
      <c r="AA85" s="515">
        <f t="shared" si="19"/>
        <v>0</v>
      </c>
      <c r="AB85" s="515">
        <f t="shared" si="20"/>
        <v>0</v>
      </c>
      <c r="AC85" s="498">
        <f>IFERROR(VLOOKUP(I85,'base dados'!$B$2:$D$49,2,FALSE),0)</f>
        <v>0</v>
      </c>
      <c r="AD85" s="498">
        <f t="shared" si="21"/>
        <v>0</v>
      </c>
      <c r="AE85" s="498">
        <f>IFERROR(VLOOKUP(J85,'base dados'!$B$2:$D$49,2,FALSE),0)*AJ85</f>
        <v>0</v>
      </c>
      <c r="AF85" s="498">
        <f t="shared" si="24"/>
        <v>0</v>
      </c>
      <c r="AG85" s="499">
        <f t="shared" si="22"/>
        <v>0</v>
      </c>
      <c r="AH85" s="564"/>
    </row>
    <row r="86" spans="2:34" s="482" customFormat="1" ht="51.6" customHeight="1" x14ac:dyDescent="0.2">
      <c r="B86" s="509">
        <f>IFERROR(VLOOKUP(I86,'base dados'!$K$2:$L$3,2,FALSE),0)</f>
        <v>0</v>
      </c>
      <c r="C86" s="509">
        <f>IFERROR(VLOOKUP(J86,'base dados'!$M$2:$N$5,2,FALSE),0)</f>
        <v>0</v>
      </c>
      <c r="D86" s="514">
        <f t="shared" si="25"/>
        <v>78</v>
      </c>
      <c r="E86" s="438"/>
      <c r="F86" s="438"/>
      <c r="G86" s="438"/>
      <c r="H86" s="438"/>
      <c r="I86" s="481"/>
      <c r="J86" s="487"/>
      <c r="K86" s="439"/>
      <c r="L86" s="467"/>
      <c r="M86" s="439"/>
      <c r="N86" s="439"/>
      <c r="O86" s="500" t="str">
        <f>IFERROR(VLOOKUP(J86,'base dados'!$B$2:$E$12,4,FALSE),"")</f>
        <v/>
      </c>
      <c r="P86" s="439"/>
      <c r="Q86" s="438"/>
      <c r="R86" s="466"/>
      <c r="S86" s="438"/>
      <c r="T86" s="438"/>
      <c r="U86" s="438"/>
      <c r="V86" s="438"/>
      <c r="W86" s="493"/>
      <c r="X86" s="500">
        <f t="shared" si="23"/>
        <v>0</v>
      </c>
      <c r="Y86" s="500" t="str">
        <f t="shared" si="18"/>
        <v xml:space="preserve"> X </v>
      </c>
      <c r="Z86" s="500">
        <f>IFERROR(VLOOKUP(Y86,PID!$A$4:$B$247,2,FALSE),0)</f>
        <v>0</v>
      </c>
      <c r="AA86" s="515">
        <f t="shared" si="19"/>
        <v>0</v>
      </c>
      <c r="AB86" s="515">
        <f t="shared" si="20"/>
        <v>0</v>
      </c>
      <c r="AC86" s="498">
        <f>IFERROR(VLOOKUP(I86,'base dados'!$B$2:$D$49,2,FALSE),0)</f>
        <v>0</v>
      </c>
      <c r="AD86" s="498">
        <f t="shared" si="21"/>
        <v>0</v>
      </c>
      <c r="AE86" s="498">
        <f>IFERROR(VLOOKUP(J86,'base dados'!$B$2:$D$49,2,FALSE),0)*AJ86</f>
        <v>0</v>
      </c>
      <c r="AF86" s="498">
        <f t="shared" si="24"/>
        <v>0</v>
      </c>
      <c r="AG86" s="499">
        <f t="shared" si="22"/>
        <v>0</v>
      </c>
      <c r="AH86" s="564"/>
    </row>
    <row r="87" spans="2:34" s="482" customFormat="1" ht="51.6" customHeight="1" x14ac:dyDescent="0.2">
      <c r="B87" s="509">
        <f>IFERROR(VLOOKUP(I87,'base dados'!$K$2:$L$3,2,FALSE),0)</f>
        <v>0</v>
      </c>
      <c r="C87" s="509">
        <f>IFERROR(VLOOKUP(J87,'base dados'!$M$2:$N$5,2,FALSE),0)</f>
        <v>0</v>
      </c>
      <c r="D87" s="514">
        <f t="shared" si="25"/>
        <v>79</v>
      </c>
      <c r="E87" s="438"/>
      <c r="F87" s="438"/>
      <c r="G87" s="438"/>
      <c r="H87" s="438"/>
      <c r="I87" s="481"/>
      <c r="J87" s="487"/>
      <c r="K87" s="439"/>
      <c r="L87" s="467"/>
      <c r="M87" s="439"/>
      <c r="N87" s="439"/>
      <c r="O87" s="500" t="str">
        <f>IFERROR(VLOOKUP(J87,'base dados'!$B$2:$E$12,4,FALSE),"")</f>
        <v/>
      </c>
      <c r="P87" s="439"/>
      <c r="Q87" s="438"/>
      <c r="R87" s="466"/>
      <c r="S87" s="438"/>
      <c r="T87" s="438"/>
      <c r="U87" s="438"/>
      <c r="V87" s="438"/>
      <c r="W87" s="493"/>
      <c r="X87" s="500">
        <f t="shared" si="23"/>
        <v>0</v>
      </c>
      <c r="Y87" s="500" t="str">
        <f t="shared" si="18"/>
        <v xml:space="preserve"> X </v>
      </c>
      <c r="Z87" s="500">
        <f>IFERROR(VLOOKUP(Y87,PID!$A$4:$B$247,2,FALSE),0)</f>
        <v>0</v>
      </c>
      <c r="AA87" s="515">
        <f t="shared" si="19"/>
        <v>0</v>
      </c>
      <c r="AB87" s="515">
        <f t="shared" si="20"/>
        <v>0</v>
      </c>
      <c r="AC87" s="498">
        <f>IFERROR(VLOOKUP(I87,'base dados'!$B$2:$D$49,2,FALSE),0)</f>
        <v>0</v>
      </c>
      <c r="AD87" s="498">
        <f t="shared" si="21"/>
        <v>0</v>
      </c>
      <c r="AE87" s="498">
        <f>IFERROR(VLOOKUP(J87,'base dados'!$B$2:$D$49,2,FALSE),0)*AJ87</f>
        <v>0</v>
      </c>
      <c r="AF87" s="498">
        <f t="shared" si="24"/>
        <v>0</v>
      </c>
      <c r="AG87" s="499">
        <f t="shared" si="22"/>
        <v>0</v>
      </c>
      <c r="AH87" s="564"/>
    </row>
    <row r="88" spans="2:34" s="482" customFormat="1" ht="51.6" customHeight="1" x14ac:dyDescent="0.2">
      <c r="B88" s="509">
        <f>IFERROR(VLOOKUP(I88,'base dados'!$K$2:$L$3,2,FALSE),0)</f>
        <v>0</v>
      </c>
      <c r="C88" s="509">
        <f>IFERROR(VLOOKUP(J88,'base dados'!$M$2:$N$5,2,FALSE),0)</f>
        <v>0</v>
      </c>
      <c r="D88" s="514">
        <f t="shared" si="25"/>
        <v>80</v>
      </c>
      <c r="E88" s="438"/>
      <c r="F88" s="438"/>
      <c r="G88" s="438"/>
      <c r="H88" s="438"/>
      <c r="I88" s="481"/>
      <c r="J88" s="487"/>
      <c r="K88" s="439"/>
      <c r="L88" s="467"/>
      <c r="M88" s="439"/>
      <c r="N88" s="439"/>
      <c r="O88" s="500" t="str">
        <f>IFERROR(VLOOKUP(J88,'base dados'!$B$2:$E$12,4,FALSE),"")</f>
        <v/>
      </c>
      <c r="P88" s="439"/>
      <c r="Q88" s="438"/>
      <c r="R88" s="438"/>
      <c r="S88" s="438"/>
      <c r="T88" s="438"/>
      <c r="U88" s="438"/>
      <c r="V88" s="438"/>
      <c r="W88" s="493"/>
      <c r="X88" s="500">
        <f t="shared" si="23"/>
        <v>0</v>
      </c>
      <c r="Y88" s="500" t="str">
        <f t="shared" si="18"/>
        <v xml:space="preserve"> X </v>
      </c>
      <c r="Z88" s="500">
        <f>IFERROR(VLOOKUP(Y88,PID!$A$4:$B$247,2,FALSE),0)</f>
        <v>0</v>
      </c>
      <c r="AA88" s="515">
        <f t="shared" si="19"/>
        <v>0</v>
      </c>
      <c r="AB88" s="515">
        <f t="shared" si="20"/>
        <v>0</v>
      </c>
      <c r="AC88" s="498">
        <f>IFERROR(VLOOKUP(I88,'base dados'!$B$2:$D$49,2,FALSE),0)</f>
        <v>0</v>
      </c>
      <c r="AD88" s="498">
        <f t="shared" si="21"/>
        <v>0</v>
      </c>
      <c r="AE88" s="498">
        <f>IFERROR(VLOOKUP(J88,'base dados'!$B$2:$D$49,2,FALSE),0)*AJ88</f>
        <v>0</v>
      </c>
      <c r="AF88" s="498">
        <f t="shared" si="24"/>
        <v>0</v>
      </c>
      <c r="AG88" s="499">
        <f t="shared" si="22"/>
        <v>0</v>
      </c>
      <c r="AH88" s="564"/>
    </row>
    <row r="89" spans="2:34" s="482" customFormat="1" ht="51.6" customHeight="1" x14ac:dyDescent="0.2">
      <c r="B89" s="509">
        <f>IFERROR(VLOOKUP(I89,'base dados'!$K$2:$L$3,2,FALSE),0)</f>
        <v>0</v>
      </c>
      <c r="C89" s="509">
        <f>IFERROR(VLOOKUP(J89,'base dados'!$M$2:$N$5,2,FALSE),0)</f>
        <v>0</v>
      </c>
      <c r="D89" s="514">
        <f t="shared" si="25"/>
        <v>81</v>
      </c>
      <c r="E89" s="438"/>
      <c r="F89" s="438"/>
      <c r="G89" s="438"/>
      <c r="H89" s="438"/>
      <c r="I89" s="481"/>
      <c r="J89" s="487"/>
      <c r="K89" s="439"/>
      <c r="L89" s="467"/>
      <c r="M89" s="439"/>
      <c r="N89" s="439"/>
      <c r="O89" s="500" t="str">
        <f>IFERROR(VLOOKUP(J89,'base dados'!$B$2:$E$12,4,FALSE),"")</f>
        <v/>
      </c>
      <c r="P89" s="439"/>
      <c r="Q89" s="438"/>
      <c r="R89" s="438"/>
      <c r="S89" s="438"/>
      <c r="T89" s="438"/>
      <c r="U89" s="438"/>
      <c r="V89" s="438"/>
      <c r="W89" s="493"/>
      <c r="X89" s="500">
        <f t="shared" si="23"/>
        <v>0</v>
      </c>
      <c r="Y89" s="500" t="str">
        <f t="shared" si="18"/>
        <v xml:space="preserve"> X </v>
      </c>
      <c r="Z89" s="500">
        <f>IFERROR(VLOOKUP(Y89,PID!$A$4:$B$247,2,FALSE),0)</f>
        <v>0</v>
      </c>
      <c r="AA89" s="515">
        <f t="shared" si="19"/>
        <v>0</v>
      </c>
      <c r="AB89" s="515">
        <f t="shared" si="20"/>
        <v>0</v>
      </c>
      <c r="AC89" s="498">
        <f>IFERROR(VLOOKUP(I89,'base dados'!$B$2:$D$49,2,FALSE),0)</f>
        <v>0</v>
      </c>
      <c r="AD89" s="498">
        <f t="shared" si="21"/>
        <v>0</v>
      </c>
      <c r="AE89" s="498">
        <f>IFERROR(VLOOKUP(J89,'base dados'!$B$2:$D$49,2,FALSE),0)*AJ89</f>
        <v>0</v>
      </c>
      <c r="AF89" s="498">
        <f t="shared" si="24"/>
        <v>0</v>
      </c>
      <c r="AG89" s="499">
        <f t="shared" si="22"/>
        <v>0</v>
      </c>
      <c r="AH89" s="564"/>
    </row>
    <row r="90" spans="2:34" s="482" customFormat="1" ht="51.6" customHeight="1" x14ac:dyDescent="0.2">
      <c r="B90" s="509">
        <f>IFERROR(VLOOKUP(I90,'base dados'!$K$2:$L$3,2,FALSE),0)</f>
        <v>0</v>
      </c>
      <c r="C90" s="509">
        <f>IFERROR(VLOOKUP(J90,'base dados'!$M$2:$N$5,2,FALSE),0)</f>
        <v>0</v>
      </c>
      <c r="D90" s="514">
        <f t="shared" si="25"/>
        <v>82</v>
      </c>
      <c r="E90" s="438"/>
      <c r="F90" s="438"/>
      <c r="G90" s="438"/>
      <c r="H90" s="438"/>
      <c r="I90" s="481"/>
      <c r="J90" s="487"/>
      <c r="K90" s="439"/>
      <c r="L90" s="467"/>
      <c r="M90" s="439"/>
      <c r="N90" s="439"/>
      <c r="O90" s="500" t="str">
        <f>IFERROR(VLOOKUP(J90,'base dados'!$B$2:$E$12,4,FALSE),"")</f>
        <v/>
      </c>
      <c r="P90" s="439"/>
      <c r="Q90" s="438"/>
      <c r="R90" s="438"/>
      <c r="S90" s="438"/>
      <c r="T90" s="438"/>
      <c r="U90" s="438"/>
      <c r="V90" s="438"/>
      <c r="W90" s="493"/>
      <c r="X90" s="500">
        <f t="shared" si="23"/>
        <v>0</v>
      </c>
      <c r="Y90" s="500" t="str">
        <f t="shared" si="18"/>
        <v xml:space="preserve"> X </v>
      </c>
      <c r="Z90" s="500">
        <f>IFERROR(VLOOKUP(Y90,PID!$A$4:$B$247,2,FALSE),0)</f>
        <v>0</v>
      </c>
      <c r="AA90" s="515">
        <f t="shared" si="19"/>
        <v>0</v>
      </c>
      <c r="AB90" s="515">
        <f t="shared" si="20"/>
        <v>0</v>
      </c>
      <c r="AC90" s="498">
        <f>IFERROR(VLOOKUP(I90,'base dados'!$B$2:$D$49,2,FALSE),0)</f>
        <v>0</v>
      </c>
      <c r="AD90" s="498">
        <f t="shared" si="21"/>
        <v>0</v>
      </c>
      <c r="AE90" s="498">
        <f>IFERROR(VLOOKUP(J90,'base dados'!$B$2:$D$49,2,FALSE),0)*AJ90</f>
        <v>0</v>
      </c>
      <c r="AF90" s="498">
        <f t="shared" si="24"/>
        <v>0</v>
      </c>
      <c r="AG90" s="499">
        <f t="shared" si="22"/>
        <v>0</v>
      </c>
      <c r="AH90" s="564"/>
    </row>
    <row r="91" spans="2:34" s="482" customFormat="1" ht="51.6" customHeight="1" x14ac:dyDescent="0.2">
      <c r="B91" s="509">
        <f>IFERROR(VLOOKUP(I91,'base dados'!$K$2:$L$3,2,FALSE),0)</f>
        <v>0</v>
      </c>
      <c r="C91" s="509">
        <f>IFERROR(VLOOKUP(J91,'base dados'!$M$2:$N$5,2,FALSE),0)</f>
        <v>0</v>
      </c>
      <c r="D91" s="514">
        <f t="shared" si="25"/>
        <v>83</v>
      </c>
      <c r="E91" s="438"/>
      <c r="F91" s="438"/>
      <c r="G91" s="438"/>
      <c r="H91" s="438"/>
      <c r="I91" s="481"/>
      <c r="J91" s="487"/>
      <c r="K91" s="439"/>
      <c r="L91" s="467"/>
      <c r="M91" s="439"/>
      <c r="N91" s="439"/>
      <c r="O91" s="500" t="str">
        <f>IFERROR(VLOOKUP(J91,'base dados'!$B$2:$E$12,4,FALSE),"")</f>
        <v/>
      </c>
      <c r="P91" s="439"/>
      <c r="Q91" s="438"/>
      <c r="R91" s="438"/>
      <c r="S91" s="438"/>
      <c r="T91" s="438"/>
      <c r="U91" s="438"/>
      <c r="V91" s="438"/>
      <c r="W91" s="493"/>
      <c r="X91" s="500">
        <f t="shared" si="23"/>
        <v>0</v>
      </c>
      <c r="Y91" s="500" t="str">
        <f t="shared" si="18"/>
        <v xml:space="preserve"> X </v>
      </c>
      <c r="Z91" s="500">
        <f>IFERROR(VLOOKUP(Y91,PID!$A$4:$B$247,2,FALSE),0)</f>
        <v>0</v>
      </c>
      <c r="AA91" s="515">
        <f t="shared" si="19"/>
        <v>0</v>
      </c>
      <c r="AB91" s="515">
        <f t="shared" si="20"/>
        <v>0</v>
      </c>
      <c r="AC91" s="498">
        <f>IFERROR(VLOOKUP(I91,'base dados'!$B$2:$D$49,2,FALSE),0)</f>
        <v>0</v>
      </c>
      <c r="AD91" s="498">
        <f t="shared" si="21"/>
        <v>0</v>
      </c>
      <c r="AE91" s="498">
        <f>IFERROR(VLOOKUP(J91,'base dados'!$B$2:$D$49,2,FALSE),0)*AJ91</f>
        <v>0</v>
      </c>
      <c r="AF91" s="498">
        <f t="shared" si="24"/>
        <v>0</v>
      </c>
      <c r="AG91" s="499">
        <f t="shared" si="22"/>
        <v>0</v>
      </c>
      <c r="AH91" s="564"/>
    </row>
    <row r="92" spans="2:34" s="482" customFormat="1" ht="51.6" customHeight="1" x14ac:dyDescent="0.2">
      <c r="B92" s="509">
        <f>IFERROR(VLOOKUP(I92,'base dados'!$K$2:$L$3,2,FALSE),0)</f>
        <v>0</v>
      </c>
      <c r="C92" s="509">
        <f>IFERROR(VLOOKUP(J92,'base dados'!$M$2:$N$5,2,FALSE),0)</f>
        <v>0</v>
      </c>
      <c r="D92" s="514">
        <f t="shared" si="25"/>
        <v>84</v>
      </c>
      <c r="E92" s="438"/>
      <c r="F92" s="438"/>
      <c r="G92" s="438"/>
      <c r="H92" s="438"/>
      <c r="I92" s="481"/>
      <c r="J92" s="487"/>
      <c r="K92" s="439"/>
      <c r="L92" s="467"/>
      <c r="M92" s="439"/>
      <c r="N92" s="439"/>
      <c r="O92" s="500" t="str">
        <f>IFERROR(VLOOKUP(J92,'base dados'!$B$2:$E$12,4,FALSE),"")</f>
        <v/>
      </c>
      <c r="P92" s="439"/>
      <c r="Q92" s="438"/>
      <c r="R92" s="438"/>
      <c r="S92" s="438"/>
      <c r="T92" s="438"/>
      <c r="U92" s="438"/>
      <c r="V92" s="438"/>
      <c r="W92" s="493"/>
      <c r="X92" s="500">
        <f t="shared" si="23"/>
        <v>0</v>
      </c>
      <c r="Y92" s="500" t="str">
        <f t="shared" si="18"/>
        <v xml:space="preserve"> X </v>
      </c>
      <c r="Z92" s="500">
        <f>IFERROR(VLOOKUP(Y92,PID!$A$4:$B$247,2,FALSE),0)</f>
        <v>0</v>
      </c>
      <c r="AA92" s="515">
        <f t="shared" si="19"/>
        <v>0</v>
      </c>
      <c r="AB92" s="515">
        <f t="shared" si="20"/>
        <v>0</v>
      </c>
      <c r="AC92" s="498">
        <f>IFERROR(VLOOKUP(I92,'base dados'!$B$2:$D$49,2,FALSE),0)</f>
        <v>0</v>
      </c>
      <c r="AD92" s="498">
        <f t="shared" si="21"/>
        <v>0</v>
      </c>
      <c r="AE92" s="498">
        <f>IFERROR(VLOOKUP(J92,'base dados'!$B$2:$D$49,2,FALSE),0)*AJ92</f>
        <v>0</v>
      </c>
      <c r="AF92" s="498">
        <f t="shared" si="24"/>
        <v>0</v>
      </c>
      <c r="AG92" s="499">
        <f t="shared" si="22"/>
        <v>0</v>
      </c>
      <c r="AH92" s="564"/>
    </row>
    <row r="93" spans="2:34" s="482" customFormat="1" ht="51.6" customHeight="1" x14ac:dyDescent="0.2">
      <c r="B93" s="509">
        <f>IFERROR(VLOOKUP(I93,'base dados'!$K$2:$L$3,2,FALSE),0)</f>
        <v>0</v>
      </c>
      <c r="C93" s="509">
        <f>IFERROR(VLOOKUP(J93,'base dados'!$M$2:$N$5,2,FALSE),0)</f>
        <v>0</v>
      </c>
      <c r="D93" s="514">
        <f t="shared" si="25"/>
        <v>85</v>
      </c>
      <c r="E93" s="438"/>
      <c r="F93" s="438"/>
      <c r="G93" s="438"/>
      <c r="H93" s="438"/>
      <c r="I93" s="481"/>
      <c r="J93" s="487"/>
      <c r="K93" s="439"/>
      <c r="L93" s="467"/>
      <c r="M93" s="439"/>
      <c r="N93" s="439"/>
      <c r="O93" s="500" t="str">
        <f>IFERROR(VLOOKUP(J93,'base dados'!$B$2:$E$12,4,FALSE),"")</f>
        <v/>
      </c>
      <c r="P93" s="439"/>
      <c r="Q93" s="438"/>
      <c r="R93" s="438"/>
      <c r="S93" s="438"/>
      <c r="T93" s="438"/>
      <c r="U93" s="438"/>
      <c r="V93" s="438"/>
      <c r="W93" s="493"/>
      <c r="X93" s="500">
        <f t="shared" si="23"/>
        <v>0</v>
      </c>
      <c r="Y93" s="500" t="str">
        <f t="shared" si="18"/>
        <v xml:space="preserve"> X </v>
      </c>
      <c r="Z93" s="500">
        <f>IFERROR(VLOOKUP(Y93,PID!$A$4:$B$247,2,FALSE),0)</f>
        <v>0</v>
      </c>
      <c r="AA93" s="515">
        <f t="shared" si="19"/>
        <v>0</v>
      </c>
      <c r="AB93" s="515">
        <f t="shared" si="20"/>
        <v>0</v>
      </c>
      <c r="AC93" s="498">
        <f>IFERROR(VLOOKUP(I93,'base dados'!$B$2:$D$49,2,FALSE),0)</f>
        <v>0</v>
      </c>
      <c r="AD93" s="498">
        <f t="shared" si="21"/>
        <v>0</v>
      </c>
      <c r="AE93" s="498">
        <f>IFERROR(VLOOKUP(J93,'base dados'!$B$2:$D$49,2,FALSE),0)*AJ93</f>
        <v>0</v>
      </c>
      <c r="AF93" s="498">
        <f t="shared" si="24"/>
        <v>0</v>
      </c>
      <c r="AG93" s="499">
        <f t="shared" si="22"/>
        <v>0</v>
      </c>
      <c r="AH93" s="564"/>
    </row>
    <row r="94" spans="2:34" s="482" customFormat="1" ht="51.6" customHeight="1" x14ac:dyDescent="0.2">
      <c r="B94" s="509">
        <f>IFERROR(VLOOKUP(I94,'base dados'!$K$2:$L$3,2,FALSE),0)</f>
        <v>0</v>
      </c>
      <c r="C94" s="509">
        <f>IFERROR(VLOOKUP(J94,'base dados'!$M$2:$N$5,2,FALSE),0)</f>
        <v>0</v>
      </c>
      <c r="D94" s="514">
        <f t="shared" si="25"/>
        <v>86</v>
      </c>
      <c r="E94" s="438"/>
      <c r="F94" s="438"/>
      <c r="G94" s="438"/>
      <c r="H94" s="438"/>
      <c r="I94" s="481"/>
      <c r="J94" s="487"/>
      <c r="K94" s="439"/>
      <c r="L94" s="467"/>
      <c r="M94" s="439"/>
      <c r="N94" s="439"/>
      <c r="O94" s="500" t="str">
        <f>IFERROR(VLOOKUP(J94,'base dados'!$B$2:$E$12,4,FALSE),"")</f>
        <v/>
      </c>
      <c r="P94" s="439"/>
      <c r="Q94" s="438"/>
      <c r="R94" s="438"/>
      <c r="S94" s="438"/>
      <c r="T94" s="438"/>
      <c r="U94" s="438"/>
      <c r="V94" s="438"/>
      <c r="W94" s="493"/>
      <c r="X94" s="500">
        <f t="shared" si="23"/>
        <v>0</v>
      </c>
      <c r="Y94" s="500" t="str">
        <f t="shared" si="18"/>
        <v xml:space="preserve"> X </v>
      </c>
      <c r="Z94" s="500">
        <f>IFERROR(VLOOKUP(Y94,PID!$A$4:$B$247,2,FALSE),0)</f>
        <v>0</v>
      </c>
      <c r="AA94" s="515">
        <f t="shared" si="19"/>
        <v>0</v>
      </c>
      <c r="AB94" s="515">
        <f t="shared" si="20"/>
        <v>0</v>
      </c>
      <c r="AC94" s="498">
        <f>IFERROR(VLOOKUP(I94,'base dados'!$B$2:$D$49,2,FALSE),0)</f>
        <v>0</v>
      </c>
      <c r="AD94" s="498">
        <f t="shared" si="21"/>
        <v>0</v>
      </c>
      <c r="AE94" s="498">
        <f>IFERROR(VLOOKUP(J94,'base dados'!$B$2:$D$49,2,FALSE),0)*AJ94</f>
        <v>0</v>
      </c>
      <c r="AF94" s="498">
        <f t="shared" si="24"/>
        <v>0</v>
      </c>
      <c r="AG94" s="499">
        <f t="shared" si="22"/>
        <v>0</v>
      </c>
      <c r="AH94" s="564"/>
    </row>
    <row r="95" spans="2:34" s="482" customFormat="1" ht="51.6" customHeight="1" x14ac:dyDescent="0.2">
      <c r="B95" s="509">
        <f>IFERROR(VLOOKUP(I95,'base dados'!$K$2:$L$3,2,FALSE),0)</f>
        <v>0</v>
      </c>
      <c r="C95" s="509">
        <f>IFERROR(VLOOKUP(J95,'base dados'!$M$2:$N$5,2,FALSE),0)</f>
        <v>0</v>
      </c>
      <c r="D95" s="514">
        <f t="shared" si="25"/>
        <v>87</v>
      </c>
      <c r="E95" s="438"/>
      <c r="F95" s="438"/>
      <c r="G95" s="438"/>
      <c r="H95" s="438"/>
      <c r="I95" s="481"/>
      <c r="J95" s="487"/>
      <c r="K95" s="439"/>
      <c r="L95" s="467"/>
      <c r="M95" s="439"/>
      <c r="N95" s="439"/>
      <c r="O95" s="500" t="str">
        <f>IFERROR(VLOOKUP(J95,'base dados'!$B$2:$E$12,4,FALSE),"")</f>
        <v/>
      </c>
      <c r="P95" s="439"/>
      <c r="Q95" s="438"/>
      <c r="R95" s="438"/>
      <c r="S95" s="438"/>
      <c r="T95" s="438"/>
      <c r="U95" s="438"/>
      <c r="V95" s="438"/>
      <c r="W95" s="493"/>
      <c r="X95" s="500">
        <f t="shared" si="23"/>
        <v>0</v>
      </c>
      <c r="Y95" s="500" t="str">
        <f t="shared" si="18"/>
        <v xml:space="preserve"> X </v>
      </c>
      <c r="Z95" s="500">
        <f>IFERROR(VLOOKUP(Y95,PID!$A$4:$B$247,2,FALSE),0)</f>
        <v>0</v>
      </c>
      <c r="AA95" s="515">
        <f t="shared" si="19"/>
        <v>0</v>
      </c>
      <c r="AB95" s="515">
        <f t="shared" si="20"/>
        <v>0</v>
      </c>
      <c r="AC95" s="498">
        <f>IFERROR(VLOOKUP(I95,'base dados'!$B$2:$D$49,2,FALSE),0)</f>
        <v>0</v>
      </c>
      <c r="AD95" s="498">
        <f t="shared" si="21"/>
        <v>0</v>
      </c>
      <c r="AE95" s="498">
        <f>IFERROR(VLOOKUP(J95,'base dados'!$B$2:$D$49,2,FALSE),0)*AJ95</f>
        <v>0</v>
      </c>
      <c r="AF95" s="498">
        <f t="shared" si="24"/>
        <v>0</v>
      </c>
      <c r="AG95" s="499">
        <f t="shared" si="22"/>
        <v>0</v>
      </c>
      <c r="AH95" s="564"/>
    </row>
    <row r="96" spans="2:34" s="482" customFormat="1" ht="51.6" customHeight="1" x14ac:dyDescent="0.2">
      <c r="B96" s="509">
        <f>IFERROR(VLOOKUP(I96,'base dados'!$K$2:$L$3,2,FALSE),0)</f>
        <v>0</v>
      </c>
      <c r="C96" s="509">
        <f>IFERROR(VLOOKUP(J96,'base dados'!$M$2:$N$5,2,FALSE),0)</f>
        <v>0</v>
      </c>
      <c r="D96" s="514">
        <f t="shared" si="25"/>
        <v>88</v>
      </c>
      <c r="E96" s="438"/>
      <c r="F96" s="438"/>
      <c r="G96" s="438"/>
      <c r="H96" s="438"/>
      <c r="I96" s="481"/>
      <c r="J96" s="487"/>
      <c r="K96" s="439"/>
      <c r="L96" s="467"/>
      <c r="M96" s="439"/>
      <c r="N96" s="439"/>
      <c r="O96" s="500" t="str">
        <f>IFERROR(VLOOKUP(J96,'base dados'!$B$2:$E$12,4,FALSE),"")</f>
        <v/>
      </c>
      <c r="P96" s="439"/>
      <c r="Q96" s="438"/>
      <c r="R96" s="438"/>
      <c r="S96" s="438"/>
      <c r="T96" s="438"/>
      <c r="U96" s="438"/>
      <c r="V96" s="438"/>
      <c r="W96" s="493"/>
      <c r="X96" s="500">
        <f t="shared" si="23"/>
        <v>0</v>
      </c>
      <c r="Y96" s="500" t="str">
        <f t="shared" si="18"/>
        <v xml:space="preserve"> X </v>
      </c>
      <c r="Z96" s="500">
        <f>IFERROR(VLOOKUP(Y96,PID!$A$4:$B$247,2,FALSE),0)</f>
        <v>0</v>
      </c>
      <c r="AA96" s="515">
        <f t="shared" si="19"/>
        <v>0</v>
      </c>
      <c r="AB96" s="515">
        <f t="shared" si="20"/>
        <v>0</v>
      </c>
      <c r="AC96" s="498">
        <f>IFERROR(VLOOKUP(I96,'base dados'!$B$2:$D$49,2,FALSE),0)</f>
        <v>0</v>
      </c>
      <c r="AD96" s="498">
        <f t="shared" si="21"/>
        <v>0</v>
      </c>
      <c r="AE96" s="498">
        <f>IFERROR(VLOOKUP(J96,'base dados'!$B$2:$D$49,2,FALSE),0)*AJ96</f>
        <v>0</v>
      </c>
      <c r="AF96" s="498">
        <f t="shared" si="24"/>
        <v>0</v>
      </c>
      <c r="AG96" s="499">
        <f t="shared" si="22"/>
        <v>0</v>
      </c>
      <c r="AH96" s="564"/>
    </row>
    <row r="97" spans="2:34" s="482" customFormat="1" ht="51.6" customHeight="1" x14ac:dyDescent="0.2">
      <c r="B97" s="509">
        <f>IFERROR(VLOOKUP(I97,'base dados'!$K$2:$L$3,2,FALSE),0)</f>
        <v>0</v>
      </c>
      <c r="C97" s="509">
        <f>IFERROR(VLOOKUP(J97,'base dados'!$M$2:$N$5,2,FALSE),0)</f>
        <v>0</v>
      </c>
      <c r="D97" s="514">
        <f t="shared" si="25"/>
        <v>89</v>
      </c>
      <c r="E97" s="438"/>
      <c r="F97" s="438"/>
      <c r="G97" s="438"/>
      <c r="H97" s="438"/>
      <c r="I97" s="481"/>
      <c r="J97" s="487"/>
      <c r="K97" s="439"/>
      <c r="L97" s="467"/>
      <c r="M97" s="439"/>
      <c r="N97" s="439"/>
      <c r="O97" s="500" t="str">
        <f>IFERROR(VLOOKUP(J97,'base dados'!$B$2:$E$12,4,FALSE),"")</f>
        <v/>
      </c>
      <c r="P97" s="439"/>
      <c r="Q97" s="438"/>
      <c r="R97" s="466"/>
      <c r="S97" s="438"/>
      <c r="T97" s="438"/>
      <c r="U97" s="438"/>
      <c r="V97" s="438"/>
      <c r="W97" s="493"/>
      <c r="X97" s="500">
        <f t="shared" si="23"/>
        <v>0</v>
      </c>
      <c r="Y97" s="500" t="str">
        <f t="shared" si="18"/>
        <v xml:space="preserve"> X </v>
      </c>
      <c r="Z97" s="500">
        <f>IFERROR(VLOOKUP(Y97,PID!$A$4:$B$247,2,FALSE),0)</f>
        <v>0</v>
      </c>
      <c r="AA97" s="515">
        <f t="shared" si="19"/>
        <v>0</v>
      </c>
      <c r="AB97" s="515">
        <f t="shared" si="20"/>
        <v>0</v>
      </c>
      <c r="AC97" s="498">
        <f>IFERROR(VLOOKUP(I97,'base dados'!$B$2:$D$49,2,FALSE),0)</f>
        <v>0</v>
      </c>
      <c r="AD97" s="498">
        <f t="shared" si="21"/>
        <v>0</v>
      </c>
      <c r="AE97" s="498">
        <f>IFERROR(VLOOKUP(J97,'base dados'!$B$2:$D$49,2,FALSE),0)*AJ97</f>
        <v>0</v>
      </c>
      <c r="AF97" s="498">
        <f t="shared" si="24"/>
        <v>0</v>
      </c>
      <c r="AG97" s="499">
        <f t="shared" si="22"/>
        <v>0</v>
      </c>
      <c r="AH97" s="564"/>
    </row>
    <row r="98" spans="2:34" s="482" customFormat="1" ht="51.6" customHeight="1" x14ac:dyDescent="0.2">
      <c r="B98" s="509">
        <f>IFERROR(VLOOKUP(I98,'base dados'!$K$2:$L$3,2,FALSE),0)</f>
        <v>0</v>
      </c>
      <c r="C98" s="509">
        <f>IFERROR(VLOOKUP(J98,'base dados'!$M$2:$N$5,2,FALSE),0)</f>
        <v>0</v>
      </c>
      <c r="D98" s="514">
        <f t="shared" si="25"/>
        <v>90</v>
      </c>
      <c r="E98" s="438"/>
      <c r="F98" s="438"/>
      <c r="G98" s="438"/>
      <c r="H98" s="438"/>
      <c r="I98" s="481"/>
      <c r="J98" s="487"/>
      <c r="K98" s="439"/>
      <c r="L98" s="467"/>
      <c r="M98" s="439"/>
      <c r="N98" s="439"/>
      <c r="O98" s="500" t="str">
        <f>IFERROR(VLOOKUP(J98,'base dados'!$B$2:$E$12,4,FALSE),"")</f>
        <v/>
      </c>
      <c r="P98" s="439"/>
      <c r="Q98" s="438"/>
      <c r="R98" s="466"/>
      <c r="S98" s="438"/>
      <c r="T98" s="438"/>
      <c r="U98" s="438"/>
      <c r="V98" s="438"/>
      <c r="W98" s="493"/>
      <c r="X98" s="500">
        <f t="shared" si="23"/>
        <v>0</v>
      </c>
      <c r="Y98" s="500" t="str">
        <f t="shared" si="18"/>
        <v xml:space="preserve"> X </v>
      </c>
      <c r="Z98" s="500">
        <f>IFERROR(VLOOKUP(Y98,PID!$A$4:$B$247,2,FALSE),0)</f>
        <v>0</v>
      </c>
      <c r="AA98" s="515">
        <f t="shared" si="19"/>
        <v>0</v>
      </c>
      <c r="AB98" s="515">
        <f t="shared" si="20"/>
        <v>0</v>
      </c>
      <c r="AC98" s="498">
        <f>IFERROR(VLOOKUP(I98,'base dados'!$B$2:$D$49,2,FALSE),0)</f>
        <v>0</v>
      </c>
      <c r="AD98" s="498">
        <f t="shared" si="21"/>
        <v>0</v>
      </c>
      <c r="AE98" s="498">
        <f>IFERROR(VLOOKUP(J98,'base dados'!$B$2:$D$49,2,FALSE),0)*AJ98</f>
        <v>0</v>
      </c>
      <c r="AF98" s="498">
        <f t="shared" si="24"/>
        <v>0</v>
      </c>
      <c r="AG98" s="499">
        <f t="shared" si="22"/>
        <v>0</v>
      </c>
      <c r="AH98" s="564"/>
    </row>
    <row r="99" spans="2:34" s="482" customFormat="1" ht="51.6" customHeight="1" x14ac:dyDescent="0.2">
      <c r="B99" s="509">
        <f>IFERROR(VLOOKUP(I99,'base dados'!$K$2:$L$3,2,FALSE),0)</f>
        <v>0</v>
      </c>
      <c r="C99" s="509">
        <f>IFERROR(VLOOKUP(J99,'base dados'!$M$2:$N$5,2,FALSE),0)</f>
        <v>0</v>
      </c>
      <c r="D99" s="514">
        <f t="shared" si="25"/>
        <v>91</v>
      </c>
      <c r="E99" s="438"/>
      <c r="F99" s="438"/>
      <c r="G99" s="438"/>
      <c r="H99" s="438"/>
      <c r="I99" s="481"/>
      <c r="J99" s="487"/>
      <c r="K99" s="439"/>
      <c r="L99" s="467"/>
      <c r="M99" s="439"/>
      <c r="N99" s="439"/>
      <c r="O99" s="500" t="str">
        <f>IFERROR(VLOOKUP(J99,'base dados'!$B$2:$E$12,4,FALSE),"")</f>
        <v/>
      </c>
      <c r="P99" s="439"/>
      <c r="Q99" s="438"/>
      <c r="R99" s="466"/>
      <c r="S99" s="438"/>
      <c r="T99" s="438"/>
      <c r="U99" s="438"/>
      <c r="V99" s="438"/>
      <c r="W99" s="493"/>
      <c r="X99" s="500">
        <f t="shared" si="23"/>
        <v>0</v>
      </c>
      <c r="Y99" s="500" t="str">
        <f t="shared" si="18"/>
        <v xml:space="preserve"> X </v>
      </c>
      <c r="Z99" s="500">
        <f>IFERROR(VLOOKUP(Y99,PID!$A$4:$B$247,2,FALSE),0)</f>
        <v>0</v>
      </c>
      <c r="AA99" s="515">
        <f t="shared" si="19"/>
        <v>0</v>
      </c>
      <c r="AB99" s="515">
        <f t="shared" si="20"/>
        <v>0</v>
      </c>
      <c r="AC99" s="498">
        <f>IFERROR(VLOOKUP(I99,'base dados'!$B$2:$D$49,2,FALSE),0)</f>
        <v>0</v>
      </c>
      <c r="AD99" s="498">
        <f t="shared" si="21"/>
        <v>0</v>
      </c>
      <c r="AE99" s="498">
        <f>IFERROR(VLOOKUP(J99,'base dados'!$B$2:$D$49,2,FALSE),0)*AJ99</f>
        <v>0</v>
      </c>
      <c r="AF99" s="498">
        <f t="shared" si="24"/>
        <v>0</v>
      </c>
      <c r="AG99" s="499">
        <f t="shared" si="22"/>
        <v>0</v>
      </c>
      <c r="AH99" s="564"/>
    </row>
    <row r="100" spans="2:34" s="482" customFormat="1" ht="51.6" customHeight="1" x14ac:dyDescent="0.2">
      <c r="B100" s="509">
        <f>IFERROR(VLOOKUP(I100,'base dados'!$K$2:$L$3,2,FALSE),0)</f>
        <v>0</v>
      </c>
      <c r="C100" s="509">
        <f>IFERROR(VLOOKUP(J100,'base dados'!$M$2:$N$5,2,FALSE),0)</f>
        <v>0</v>
      </c>
      <c r="D100" s="514">
        <f t="shared" si="25"/>
        <v>92</v>
      </c>
      <c r="E100" s="438"/>
      <c r="F100" s="438"/>
      <c r="G100" s="438"/>
      <c r="H100" s="438"/>
      <c r="I100" s="481"/>
      <c r="J100" s="487"/>
      <c r="K100" s="439"/>
      <c r="L100" s="467"/>
      <c r="M100" s="439"/>
      <c r="N100" s="439"/>
      <c r="O100" s="500" t="str">
        <f>IFERROR(VLOOKUP(J100,'base dados'!$B$2:$E$12,4,FALSE),"")</f>
        <v/>
      </c>
      <c r="P100" s="439"/>
      <c r="Q100" s="438"/>
      <c r="R100" s="438"/>
      <c r="S100" s="438"/>
      <c r="T100" s="438"/>
      <c r="U100" s="438"/>
      <c r="V100" s="438"/>
      <c r="W100" s="493"/>
      <c r="X100" s="500">
        <f t="shared" si="23"/>
        <v>0</v>
      </c>
      <c r="Y100" s="500" t="str">
        <f t="shared" si="18"/>
        <v xml:space="preserve"> X </v>
      </c>
      <c r="Z100" s="500">
        <f>IFERROR(VLOOKUP(Y100,PID!$A$4:$B$247,2,FALSE),0)</f>
        <v>0</v>
      </c>
      <c r="AA100" s="515">
        <f t="shared" si="19"/>
        <v>0</v>
      </c>
      <c r="AB100" s="515">
        <f t="shared" si="20"/>
        <v>0</v>
      </c>
      <c r="AC100" s="498">
        <f>IFERROR(VLOOKUP(I100,'base dados'!$B$2:$D$49,2,FALSE),0)</f>
        <v>0</v>
      </c>
      <c r="AD100" s="498">
        <f t="shared" si="21"/>
        <v>0</v>
      </c>
      <c r="AE100" s="498">
        <f>IFERROR(VLOOKUP(J100,'base dados'!$B$2:$D$49,2,FALSE),0)*AJ100</f>
        <v>0</v>
      </c>
      <c r="AF100" s="498">
        <f t="shared" si="24"/>
        <v>0</v>
      </c>
      <c r="AG100" s="499">
        <f t="shared" si="22"/>
        <v>0</v>
      </c>
      <c r="AH100" s="564"/>
    </row>
    <row r="101" spans="2:34" s="482" customFormat="1" ht="51.6" customHeight="1" x14ac:dyDescent="0.2">
      <c r="B101" s="509">
        <f>IFERROR(VLOOKUP(I101,'base dados'!$K$2:$L$3,2,FALSE),0)</f>
        <v>0</v>
      </c>
      <c r="C101" s="509">
        <f>IFERROR(VLOOKUP(J101,'base dados'!$M$2:$N$5,2,FALSE),0)</f>
        <v>0</v>
      </c>
      <c r="D101" s="514">
        <f t="shared" si="25"/>
        <v>93</v>
      </c>
      <c r="E101" s="438"/>
      <c r="F101" s="438"/>
      <c r="G101" s="438"/>
      <c r="H101" s="438"/>
      <c r="I101" s="481"/>
      <c r="J101" s="487"/>
      <c r="K101" s="439"/>
      <c r="L101" s="467"/>
      <c r="M101" s="439"/>
      <c r="N101" s="439"/>
      <c r="O101" s="500" t="str">
        <f>IFERROR(VLOOKUP(J101,'base dados'!$B$2:$E$12,4,FALSE),"")</f>
        <v/>
      </c>
      <c r="P101" s="439"/>
      <c r="Q101" s="438"/>
      <c r="R101" s="438"/>
      <c r="S101" s="438"/>
      <c r="T101" s="438"/>
      <c r="U101" s="438"/>
      <c r="V101" s="438"/>
      <c r="W101" s="493"/>
      <c r="X101" s="500">
        <f t="shared" si="23"/>
        <v>0</v>
      </c>
      <c r="Y101" s="500" t="str">
        <f t="shared" si="18"/>
        <v xml:space="preserve"> X </v>
      </c>
      <c r="Z101" s="500">
        <f>IFERROR(VLOOKUP(Y101,PID!$A$4:$B$247,2,FALSE),0)</f>
        <v>0</v>
      </c>
      <c r="AA101" s="515">
        <f t="shared" si="19"/>
        <v>0</v>
      </c>
      <c r="AB101" s="515">
        <f t="shared" si="20"/>
        <v>0</v>
      </c>
      <c r="AC101" s="498">
        <f>IFERROR(VLOOKUP(I101,'base dados'!$B$2:$D$49,2,FALSE),0)</f>
        <v>0</v>
      </c>
      <c r="AD101" s="498">
        <f t="shared" si="21"/>
        <v>0</v>
      </c>
      <c r="AE101" s="498">
        <f>IFERROR(VLOOKUP(J101,'base dados'!$B$2:$D$49,2,FALSE),0)*AJ101</f>
        <v>0</v>
      </c>
      <c r="AF101" s="498">
        <f t="shared" si="24"/>
        <v>0</v>
      </c>
      <c r="AG101" s="499">
        <f t="shared" si="22"/>
        <v>0</v>
      </c>
      <c r="AH101" s="564"/>
    </row>
    <row r="102" spans="2:34" s="482" customFormat="1" ht="51.6" customHeight="1" x14ac:dyDescent="0.2">
      <c r="B102" s="509">
        <f>IFERROR(VLOOKUP(I102,'base dados'!$K$2:$L$3,2,FALSE),0)</f>
        <v>0</v>
      </c>
      <c r="C102" s="509">
        <f>IFERROR(VLOOKUP(J102,'base dados'!$M$2:$N$5,2,FALSE),0)</f>
        <v>0</v>
      </c>
      <c r="D102" s="514">
        <f t="shared" si="25"/>
        <v>94</v>
      </c>
      <c r="E102" s="438"/>
      <c r="F102" s="438"/>
      <c r="G102" s="438"/>
      <c r="H102" s="438"/>
      <c r="I102" s="481"/>
      <c r="J102" s="487"/>
      <c r="K102" s="439"/>
      <c r="L102" s="467"/>
      <c r="M102" s="439"/>
      <c r="N102" s="439"/>
      <c r="O102" s="500" t="str">
        <f>IFERROR(VLOOKUP(J102,'base dados'!$B$2:$E$12,4,FALSE),"")</f>
        <v/>
      </c>
      <c r="P102" s="439"/>
      <c r="Q102" s="438"/>
      <c r="R102" s="438"/>
      <c r="S102" s="438"/>
      <c r="T102" s="438"/>
      <c r="U102" s="438"/>
      <c r="V102" s="438"/>
      <c r="W102" s="493"/>
      <c r="X102" s="500">
        <f t="shared" si="23"/>
        <v>0</v>
      </c>
      <c r="Y102" s="500" t="str">
        <f t="shared" si="18"/>
        <v xml:space="preserve"> X </v>
      </c>
      <c r="Z102" s="500">
        <f>IFERROR(VLOOKUP(Y102,PID!$A$4:$B$247,2,FALSE),0)</f>
        <v>0</v>
      </c>
      <c r="AA102" s="515">
        <f t="shared" si="19"/>
        <v>0</v>
      </c>
      <c r="AB102" s="515">
        <f t="shared" si="20"/>
        <v>0</v>
      </c>
      <c r="AC102" s="498">
        <f>IFERROR(VLOOKUP(I102,'base dados'!$B$2:$D$49,2,FALSE),0)</f>
        <v>0</v>
      </c>
      <c r="AD102" s="498">
        <f t="shared" si="21"/>
        <v>0</v>
      </c>
      <c r="AE102" s="498">
        <f>IFERROR(VLOOKUP(J102,'base dados'!$B$2:$D$49,2,FALSE),0)*AJ102</f>
        <v>0</v>
      </c>
      <c r="AF102" s="498">
        <f t="shared" si="24"/>
        <v>0</v>
      </c>
      <c r="AG102" s="499">
        <f t="shared" si="22"/>
        <v>0</v>
      </c>
      <c r="AH102" s="564"/>
    </row>
    <row r="103" spans="2:34" s="482" customFormat="1" ht="51.6" customHeight="1" x14ac:dyDescent="0.2">
      <c r="B103" s="509">
        <f>IFERROR(VLOOKUP(I103,'base dados'!$K$2:$L$3,2,FALSE),0)</f>
        <v>0</v>
      </c>
      <c r="C103" s="509">
        <f>IFERROR(VLOOKUP(J103,'base dados'!$M$2:$N$5,2,FALSE),0)</f>
        <v>0</v>
      </c>
      <c r="D103" s="514">
        <f t="shared" si="25"/>
        <v>95</v>
      </c>
      <c r="E103" s="438"/>
      <c r="F103" s="438"/>
      <c r="G103" s="438"/>
      <c r="H103" s="438"/>
      <c r="I103" s="481"/>
      <c r="J103" s="487"/>
      <c r="K103" s="439"/>
      <c r="L103" s="467"/>
      <c r="M103" s="439"/>
      <c r="N103" s="439"/>
      <c r="O103" s="500" t="str">
        <f>IFERROR(VLOOKUP(J103,'base dados'!$B$2:$E$12,4,FALSE),"")</f>
        <v/>
      </c>
      <c r="P103" s="439"/>
      <c r="Q103" s="438"/>
      <c r="R103" s="438"/>
      <c r="S103" s="438"/>
      <c r="T103" s="438"/>
      <c r="U103" s="438"/>
      <c r="V103" s="438"/>
      <c r="W103" s="493"/>
      <c r="X103" s="500">
        <f t="shared" si="23"/>
        <v>0</v>
      </c>
      <c r="Y103" s="500" t="str">
        <f t="shared" si="18"/>
        <v xml:space="preserve"> X </v>
      </c>
      <c r="Z103" s="500">
        <f>IFERROR(VLOOKUP(Y103,PID!$A$4:$B$247,2,FALSE),0)</f>
        <v>0</v>
      </c>
      <c r="AA103" s="515">
        <f t="shared" si="19"/>
        <v>0</v>
      </c>
      <c r="AB103" s="515">
        <f t="shared" si="20"/>
        <v>0</v>
      </c>
      <c r="AC103" s="498">
        <f>IFERROR(VLOOKUP(I103,'base dados'!$B$2:$D$49,2,FALSE),0)</f>
        <v>0</v>
      </c>
      <c r="AD103" s="498">
        <f t="shared" si="21"/>
        <v>0</v>
      </c>
      <c r="AE103" s="498">
        <f>IFERROR(VLOOKUP(J103,'base dados'!$B$2:$D$49,2,FALSE),0)*AJ103</f>
        <v>0</v>
      </c>
      <c r="AF103" s="498">
        <f t="shared" si="24"/>
        <v>0</v>
      </c>
      <c r="AG103" s="499">
        <f t="shared" si="22"/>
        <v>0</v>
      </c>
      <c r="AH103" s="564"/>
    </row>
    <row r="104" spans="2:34" s="482" customFormat="1" ht="51.6" customHeight="1" x14ac:dyDescent="0.2">
      <c r="B104" s="509">
        <f>IFERROR(VLOOKUP(I104,'base dados'!$K$2:$L$3,2,FALSE),0)</f>
        <v>0</v>
      </c>
      <c r="C104" s="509">
        <f>IFERROR(VLOOKUP(J104,'base dados'!$M$2:$N$5,2,FALSE),0)</f>
        <v>0</v>
      </c>
      <c r="D104" s="514">
        <f t="shared" si="25"/>
        <v>96</v>
      </c>
      <c r="E104" s="438"/>
      <c r="F104" s="438"/>
      <c r="G104" s="438"/>
      <c r="H104" s="438"/>
      <c r="I104" s="481"/>
      <c r="J104" s="487"/>
      <c r="K104" s="439"/>
      <c r="L104" s="467"/>
      <c r="M104" s="439"/>
      <c r="N104" s="439"/>
      <c r="O104" s="500" t="str">
        <f>IFERROR(VLOOKUP(J104,'base dados'!$B$2:$E$12,4,FALSE),"")</f>
        <v/>
      </c>
      <c r="P104" s="439"/>
      <c r="Q104" s="438"/>
      <c r="R104" s="438"/>
      <c r="S104" s="438"/>
      <c r="T104" s="438"/>
      <c r="U104" s="438"/>
      <c r="V104" s="438"/>
      <c r="W104" s="493"/>
      <c r="X104" s="500">
        <f t="shared" si="23"/>
        <v>0</v>
      </c>
      <c r="Y104" s="500" t="str">
        <f t="shared" si="18"/>
        <v xml:space="preserve"> X </v>
      </c>
      <c r="Z104" s="500">
        <f>IFERROR(VLOOKUP(Y104,PID!$A$4:$B$247,2,FALSE),0)</f>
        <v>0</v>
      </c>
      <c r="AA104" s="515">
        <f t="shared" si="19"/>
        <v>0</v>
      </c>
      <c r="AB104" s="515">
        <f t="shared" si="20"/>
        <v>0</v>
      </c>
      <c r="AC104" s="498">
        <f>IFERROR(VLOOKUP(I104,'base dados'!$B$2:$D$49,2,FALSE),0)</f>
        <v>0</v>
      </c>
      <c r="AD104" s="498">
        <f t="shared" si="21"/>
        <v>0</v>
      </c>
      <c r="AE104" s="498">
        <f>IFERROR(VLOOKUP(J104,'base dados'!$B$2:$D$49,2,FALSE),0)*AJ104</f>
        <v>0</v>
      </c>
      <c r="AF104" s="498">
        <f t="shared" si="24"/>
        <v>0</v>
      </c>
      <c r="AG104" s="499">
        <f t="shared" si="22"/>
        <v>0</v>
      </c>
      <c r="AH104" s="564"/>
    </row>
    <row r="105" spans="2:34" s="482" customFormat="1" ht="51.6" customHeight="1" x14ac:dyDescent="0.2">
      <c r="B105" s="509">
        <f>IFERROR(VLOOKUP(I105,'base dados'!$K$2:$L$3,2,FALSE),0)</f>
        <v>0</v>
      </c>
      <c r="C105" s="509">
        <f>IFERROR(VLOOKUP(J105,'base dados'!$M$2:$N$5,2,FALSE),0)</f>
        <v>0</v>
      </c>
      <c r="D105" s="514">
        <f t="shared" si="25"/>
        <v>97</v>
      </c>
      <c r="E105" s="438"/>
      <c r="F105" s="438"/>
      <c r="G105" s="438"/>
      <c r="H105" s="438"/>
      <c r="I105" s="481"/>
      <c r="J105" s="487"/>
      <c r="K105" s="439"/>
      <c r="L105" s="467"/>
      <c r="M105" s="439"/>
      <c r="N105" s="439"/>
      <c r="O105" s="500" t="str">
        <f>IFERROR(VLOOKUP(J105,'base dados'!$B$2:$E$12,4,FALSE),"")</f>
        <v/>
      </c>
      <c r="P105" s="439"/>
      <c r="Q105" s="438"/>
      <c r="R105" s="438"/>
      <c r="S105" s="438"/>
      <c r="T105" s="438"/>
      <c r="U105" s="438"/>
      <c r="V105" s="438"/>
      <c r="W105" s="493"/>
      <c r="X105" s="500">
        <f t="shared" si="23"/>
        <v>0</v>
      </c>
      <c r="Y105" s="500" t="str">
        <f t="shared" si="18"/>
        <v xml:space="preserve"> X </v>
      </c>
      <c r="Z105" s="500">
        <f>IFERROR(VLOOKUP(Y105,PID!$A$4:$B$247,2,FALSE),0)</f>
        <v>0</v>
      </c>
      <c r="AA105" s="515">
        <f t="shared" si="19"/>
        <v>0</v>
      </c>
      <c r="AB105" s="515">
        <f t="shared" si="20"/>
        <v>0</v>
      </c>
      <c r="AC105" s="498">
        <f>IFERROR(VLOOKUP(I105,'base dados'!$B$2:$D$49,2,FALSE),0)</f>
        <v>0</v>
      </c>
      <c r="AD105" s="498">
        <f t="shared" si="21"/>
        <v>0</v>
      </c>
      <c r="AE105" s="498">
        <f>IFERROR(VLOOKUP(J105,'base dados'!$B$2:$D$49,2,FALSE),0)*AJ105</f>
        <v>0</v>
      </c>
      <c r="AF105" s="498">
        <f t="shared" si="24"/>
        <v>0</v>
      </c>
      <c r="AG105" s="499">
        <f t="shared" si="22"/>
        <v>0</v>
      </c>
      <c r="AH105" s="564"/>
    </row>
    <row r="106" spans="2:34" s="482" customFormat="1" ht="51.6" customHeight="1" x14ac:dyDescent="0.2">
      <c r="B106" s="509">
        <f>IFERROR(VLOOKUP(I106,'base dados'!$K$2:$L$3,2,FALSE),0)</f>
        <v>0</v>
      </c>
      <c r="C106" s="509">
        <f>IFERROR(VLOOKUP(J106,'base dados'!$M$2:$N$5,2,FALSE),0)</f>
        <v>0</v>
      </c>
      <c r="D106" s="514">
        <f t="shared" si="25"/>
        <v>98</v>
      </c>
      <c r="E106" s="438"/>
      <c r="F106" s="438"/>
      <c r="G106" s="438"/>
      <c r="H106" s="438"/>
      <c r="I106" s="481"/>
      <c r="J106" s="487"/>
      <c r="K106" s="439"/>
      <c r="L106" s="467"/>
      <c r="M106" s="439"/>
      <c r="N106" s="439"/>
      <c r="O106" s="500" t="str">
        <f>IFERROR(VLOOKUP(J106,'base dados'!$B$2:$E$12,4,FALSE),"")</f>
        <v/>
      </c>
      <c r="P106" s="439"/>
      <c r="Q106" s="438"/>
      <c r="R106" s="438"/>
      <c r="S106" s="438"/>
      <c r="T106" s="438"/>
      <c r="U106" s="438"/>
      <c r="V106" s="438"/>
      <c r="W106" s="493"/>
      <c r="X106" s="500">
        <f t="shared" si="23"/>
        <v>0</v>
      </c>
      <c r="Y106" s="500" t="str">
        <f t="shared" si="18"/>
        <v xml:space="preserve"> X </v>
      </c>
      <c r="Z106" s="500">
        <f>IFERROR(VLOOKUP(Y106,PID!$A$4:$B$247,2,FALSE),0)</f>
        <v>0</v>
      </c>
      <c r="AA106" s="515">
        <f t="shared" si="19"/>
        <v>0</v>
      </c>
      <c r="AB106" s="515">
        <f t="shared" si="20"/>
        <v>0</v>
      </c>
      <c r="AC106" s="498">
        <f>IFERROR(VLOOKUP(I106,'base dados'!$B$2:$D$49,2,FALSE),0)</f>
        <v>0</v>
      </c>
      <c r="AD106" s="498">
        <f t="shared" si="21"/>
        <v>0</v>
      </c>
      <c r="AE106" s="498">
        <f>IFERROR(VLOOKUP(J106,'base dados'!$B$2:$D$49,2,FALSE),0)*AJ106</f>
        <v>0</v>
      </c>
      <c r="AF106" s="498">
        <f t="shared" si="24"/>
        <v>0</v>
      </c>
      <c r="AG106" s="499">
        <f t="shared" si="22"/>
        <v>0</v>
      </c>
      <c r="AH106" s="564"/>
    </row>
    <row r="107" spans="2:34" s="482" customFormat="1" ht="51.6" customHeight="1" x14ac:dyDescent="0.2">
      <c r="B107" s="509">
        <f>IFERROR(VLOOKUP(I107,'base dados'!$K$2:$L$3,2,FALSE),0)</f>
        <v>0</v>
      </c>
      <c r="C107" s="509">
        <f>IFERROR(VLOOKUP(J107,'base dados'!$M$2:$N$5,2,FALSE),0)</f>
        <v>0</v>
      </c>
      <c r="D107" s="514">
        <f t="shared" si="25"/>
        <v>99</v>
      </c>
      <c r="E107" s="438"/>
      <c r="F107" s="438"/>
      <c r="G107" s="438"/>
      <c r="H107" s="438"/>
      <c r="I107" s="481"/>
      <c r="J107" s="487"/>
      <c r="K107" s="439"/>
      <c r="L107" s="467"/>
      <c r="M107" s="439"/>
      <c r="N107" s="439"/>
      <c r="O107" s="500" t="str">
        <f>IFERROR(VLOOKUP(J107,'base dados'!$B$2:$E$12,4,FALSE),"")</f>
        <v/>
      </c>
      <c r="P107" s="439"/>
      <c r="Q107" s="438"/>
      <c r="R107" s="438"/>
      <c r="S107" s="438"/>
      <c r="T107" s="438"/>
      <c r="U107" s="438"/>
      <c r="V107" s="438"/>
      <c r="W107" s="493"/>
      <c r="X107" s="500">
        <f t="shared" si="23"/>
        <v>0</v>
      </c>
      <c r="Y107" s="500" t="str">
        <f t="shared" si="18"/>
        <v xml:space="preserve"> X </v>
      </c>
      <c r="Z107" s="500">
        <f>IFERROR(VLOOKUP(Y107,PID!$A$4:$B$247,2,FALSE),0)</f>
        <v>0</v>
      </c>
      <c r="AA107" s="515">
        <f t="shared" si="19"/>
        <v>0</v>
      </c>
      <c r="AB107" s="515">
        <f t="shared" si="20"/>
        <v>0</v>
      </c>
      <c r="AC107" s="498">
        <f>IFERROR(VLOOKUP(I107,'base dados'!$B$2:$D$49,2,FALSE),0)</f>
        <v>0</v>
      </c>
      <c r="AD107" s="498">
        <f t="shared" si="21"/>
        <v>0</v>
      </c>
      <c r="AE107" s="498">
        <f>IFERROR(VLOOKUP(J107,'base dados'!$B$2:$D$49,2,FALSE),0)*AJ107</f>
        <v>0</v>
      </c>
      <c r="AF107" s="498">
        <f t="shared" si="24"/>
        <v>0</v>
      </c>
      <c r="AG107" s="499">
        <f t="shared" si="22"/>
        <v>0</v>
      </c>
      <c r="AH107" s="564"/>
    </row>
    <row r="108" spans="2:34" s="482" customFormat="1" ht="51.6" customHeight="1" x14ac:dyDescent="0.2">
      <c r="B108" s="509">
        <f>IFERROR(VLOOKUP(I108,'base dados'!$K$2:$L$3,2,FALSE),0)</f>
        <v>0</v>
      </c>
      <c r="C108" s="509">
        <f>IFERROR(VLOOKUP(J108,'base dados'!$M$2:$N$5,2,FALSE),0)</f>
        <v>0</v>
      </c>
      <c r="D108" s="514">
        <f t="shared" si="25"/>
        <v>100</v>
      </c>
      <c r="E108" s="438"/>
      <c r="F108" s="438"/>
      <c r="G108" s="438"/>
      <c r="H108" s="438"/>
      <c r="I108" s="481"/>
      <c r="J108" s="487"/>
      <c r="K108" s="439"/>
      <c r="L108" s="467"/>
      <c r="M108" s="439"/>
      <c r="N108" s="439"/>
      <c r="O108" s="500" t="str">
        <f>IFERROR(VLOOKUP(J108,'base dados'!$B$2:$E$12,4,FALSE),"")</f>
        <v/>
      </c>
      <c r="P108" s="439"/>
      <c r="Q108" s="438"/>
      <c r="R108" s="438"/>
      <c r="S108" s="438"/>
      <c r="T108" s="438"/>
      <c r="U108" s="438"/>
      <c r="V108" s="438"/>
      <c r="W108" s="493"/>
      <c r="X108" s="500">
        <f t="shared" si="23"/>
        <v>0</v>
      </c>
      <c r="Y108" s="500" t="str">
        <f t="shared" si="18"/>
        <v xml:space="preserve"> X </v>
      </c>
      <c r="Z108" s="500">
        <f>IFERROR(VLOOKUP(Y108,PID!$A$4:$B$247,2,FALSE),0)</f>
        <v>0</v>
      </c>
      <c r="AA108" s="515">
        <f t="shared" si="19"/>
        <v>0</v>
      </c>
      <c r="AB108" s="515">
        <f t="shared" si="20"/>
        <v>0</v>
      </c>
      <c r="AC108" s="498">
        <f>IFERROR(VLOOKUP(I108,'base dados'!$B$2:$D$49,2,FALSE),0)</f>
        <v>0</v>
      </c>
      <c r="AD108" s="498">
        <f t="shared" si="21"/>
        <v>0</v>
      </c>
      <c r="AE108" s="498">
        <f>IFERROR(VLOOKUP(J108,'base dados'!$B$2:$D$49,2,FALSE),0)*AJ108</f>
        <v>0</v>
      </c>
      <c r="AF108" s="498">
        <f t="shared" si="24"/>
        <v>0</v>
      </c>
      <c r="AG108" s="499">
        <f t="shared" si="22"/>
        <v>0</v>
      </c>
      <c r="AH108" s="564"/>
    </row>
    <row r="109" spans="2:34" s="482" customFormat="1" ht="51.6" customHeight="1" x14ac:dyDescent="0.2">
      <c r="B109" s="509">
        <f>IFERROR(VLOOKUP(I109,'base dados'!$K$2:$L$3,2,FALSE),0)</f>
        <v>0</v>
      </c>
      <c r="C109" s="509">
        <f>IFERROR(VLOOKUP(J109,'base dados'!$M$2:$N$5,2,FALSE),0)</f>
        <v>0</v>
      </c>
      <c r="D109" s="514">
        <f t="shared" si="25"/>
        <v>101</v>
      </c>
      <c r="E109" s="438"/>
      <c r="F109" s="438"/>
      <c r="G109" s="438"/>
      <c r="H109" s="438"/>
      <c r="I109" s="481"/>
      <c r="J109" s="487"/>
      <c r="K109" s="439"/>
      <c r="L109" s="467"/>
      <c r="M109" s="439"/>
      <c r="N109" s="439"/>
      <c r="O109" s="500" t="str">
        <f>IFERROR(VLOOKUP(J109,'base dados'!$B$2:$E$12,4,FALSE),"")</f>
        <v/>
      </c>
      <c r="P109" s="439"/>
      <c r="Q109" s="438"/>
      <c r="R109" s="438"/>
      <c r="S109" s="438"/>
      <c r="T109" s="438"/>
      <c r="U109" s="438"/>
      <c r="V109" s="438"/>
      <c r="W109" s="493"/>
      <c r="X109" s="500">
        <f t="shared" si="23"/>
        <v>0</v>
      </c>
      <c r="Y109" s="500" t="str">
        <f t="shared" si="18"/>
        <v xml:space="preserve"> X </v>
      </c>
      <c r="Z109" s="500">
        <f>IFERROR(VLOOKUP(Y109,PID!$A$4:$B$247,2,FALSE),0)</f>
        <v>0</v>
      </c>
      <c r="AA109" s="515">
        <f t="shared" si="19"/>
        <v>0</v>
      </c>
      <c r="AB109" s="515">
        <f t="shared" si="20"/>
        <v>0</v>
      </c>
      <c r="AC109" s="498">
        <f>IFERROR(VLOOKUP(I109,'base dados'!$B$2:$D$49,2,FALSE),0)</f>
        <v>0</v>
      </c>
      <c r="AD109" s="498">
        <f t="shared" si="21"/>
        <v>0</v>
      </c>
      <c r="AE109" s="498">
        <f>IFERROR(VLOOKUP(J109,'base dados'!$B$2:$D$49,2,FALSE),0)*AJ109</f>
        <v>0</v>
      </c>
      <c r="AF109" s="498">
        <f t="shared" si="24"/>
        <v>0</v>
      </c>
      <c r="AG109" s="499">
        <f t="shared" si="22"/>
        <v>0</v>
      </c>
      <c r="AH109" s="564"/>
    </row>
    <row r="110" spans="2:34" s="482" customFormat="1" ht="51.6" customHeight="1" x14ac:dyDescent="0.2">
      <c r="B110" s="509">
        <f>IFERROR(VLOOKUP(I110,'base dados'!$K$2:$L$3,2,FALSE),0)</f>
        <v>0</v>
      </c>
      <c r="C110" s="509">
        <f>IFERROR(VLOOKUP(J110,'base dados'!$M$2:$N$5,2,FALSE),0)</f>
        <v>0</v>
      </c>
      <c r="D110" s="514">
        <f t="shared" si="25"/>
        <v>102</v>
      </c>
      <c r="E110" s="438"/>
      <c r="F110" s="438"/>
      <c r="G110" s="438"/>
      <c r="H110" s="438"/>
      <c r="I110" s="481"/>
      <c r="J110" s="487"/>
      <c r="K110" s="439"/>
      <c r="L110" s="467"/>
      <c r="M110" s="439"/>
      <c r="N110" s="439"/>
      <c r="O110" s="500" t="str">
        <f>IFERROR(VLOOKUP(J110,'base dados'!$B$2:$E$12,4,FALSE),"")</f>
        <v/>
      </c>
      <c r="P110" s="439"/>
      <c r="Q110" s="438"/>
      <c r="R110" s="438"/>
      <c r="S110" s="438"/>
      <c r="T110" s="438"/>
      <c r="U110" s="438"/>
      <c r="V110" s="438"/>
      <c r="W110" s="493"/>
      <c r="X110" s="500">
        <f t="shared" si="23"/>
        <v>0</v>
      </c>
      <c r="Y110" s="500" t="str">
        <f t="shared" si="18"/>
        <v xml:space="preserve"> X </v>
      </c>
      <c r="Z110" s="500">
        <f>IFERROR(VLOOKUP(Y110,PID!$A$4:$B$247,2,FALSE),0)</f>
        <v>0</v>
      </c>
      <c r="AA110" s="515">
        <f t="shared" si="19"/>
        <v>0</v>
      </c>
      <c r="AB110" s="515">
        <f t="shared" si="20"/>
        <v>0</v>
      </c>
      <c r="AC110" s="498">
        <f>IFERROR(VLOOKUP(I110,'base dados'!$B$2:$D$49,2,FALSE),0)</f>
        <v>0</v>
      </c>
      <c r="AD110" s="498">
        <f t="shared" si="21"/>
        <v>0</v>
      </c>
      <c r="AE110" s="498">
        <f>IFERROR(VLOOKUP(J110,'base dados'!$B$2:$D$49,2,FALSE),0)*AJ110</f>
        <v>0</v>
      </c>
      <c r="AF110" s="498">
        <f t="shared" si="24"/>
        <v>0</v>
      </c>
      <c r="AG110" s="499">
        <f t="shared" si="22"/>
        <v>0</v>
      </c>
      <c r="AH110" s="564"/>
    </row>
    <row r="111" spans="2:34" s="482" customFormat="1" ht="51.6" customHeight="1" x14ac:dyDescent="0.2">
      <c r="B111" s="509">
        <f>IFERROR(VLOOKUP(I111,'base dados'!$K$2:$L$3,2,FALSE),0)</f>
        <v>0</v>
      </c>
      <c r="C111" s="509">
        <f>IFERROR(VLOOKUP(J111,'base dados'!$M$2:$N$5,2,FALSE),0)</f>
        <v>0</v>
      </c>
      <c r="D111" s="514">
        <f t="shared" si="25"/>
        <v>103</v>
      </c>
      <c r="E111" s="438"/>
      <c r="F111" s="438"/>
      <c r="G111" s="438"/>
      <c r="H111" s="438"/>
      <c r="I111" s="481"/>
      <c r="J111" s="487"/>
      <c r="K111" s="439"/>
      <c r="L111" s="467"/>
      <c r="M111" s="439"/>
      <c r="N111" s="439"/>
      <c r="O111" s="500" t="str">
        <f>IFERROR(VLOOKUP(J111,'base dados'!$B$2:$E$12,4,FALSE),"")</f>
        <v/>
      </c>
      <c r="P111" s="439"/>
      <c r="Q111" s="438"/>
      <c r="R111" s="438"/>
      <c r="S111" s="438"/>
      <c r="T111" s="438"/>
      <c r="U111" s="438"/>
      <c r="V111" s="438"/>
      <c r="W111" s="493"/>
      <c r="X111" s="500">
        <f t="shared" si="23"/>
        <v>0</v>
      </c>
      <c r="Y111" s="500" t="str">
        <f t="shared" si="18"/>
        <v xml:space="preserve"> X </v>
      </c>
      <c r="Z111" s="500">
        <f>IFERROR(VLOOKUP(Y111,PID!$A$4:$B$247,2,FALSE),0)</f>
        <v>0</v>
      </c>
      <c r="AA111" s="515">
        <f t="shared" si="19"/>
        <v>0</v>
      </c>
      <c r="AB111" s="515">
        <f t="shared" si="20"/>
        <v>0</v>
      </c>
      <c r="AC111" s="498">
        <f>IFERROR(VLOOKUP(I111,'base dados'!$B$2:$D$49,2,FALSE),0)</f>
        <v>0</v>
      </c>
      <c r="AD111" s="498">
        <f t="shared" si="21"/>
        <v>0</v>
      </c>
      <c r="AE111" s="498">
        <f>IFERROR(VLOOKUP(J111,'base dados'!$B$2:$D$49,2,FALSE),0)*AJ111</f>
        <v>0</v>
      </c>
      <c r="AF111" s="498">
        <f t="shared" si="24"/>
        <v>0</v>
      </c>
      <c r="AG111" s="499">
        <f t="shared" si="22"/>
        <v>0</v>
      </c>
      <c r="AH111" s="564"/>
    </row>
    <row r="112" spans="2:34" s="482" customFormat="1" ht="51.6" customHeight="1" x14ac:dyDescent="0.2">
      <c r="B112" s="509">
        <f>IFERROR(VLOOKUP(I112,'base dados'!$K$2:$L$3,2,FALSE),0)</f>
        <v>0</v>
      </c>
      <c r="C112" s="509">
        <f>IFERROR(VLOOKUP(J112,'base dados'!$M$2:$N$5,2,FALSE),0)</f>
        <v>0</v>
      </c>
      <c r="D112" s="514">
        <f t="shared" si="25"/>
        <v>104</v>
      </c>
      <c r="E112" s="438"/>
      <c r="F112" s="438"/>
      <c r="G112" s="438"/>
      <c r="H112" s="438"/>
      <c r="I112" s="481"/>
      <c r="J112" s="487"/>
      <c r="K112" s="439"/>
      <c r="L112" s="467"/>
      <c r="M112" s="439"/>
      <c r="N112" s="439"/>
      <c r="O112" s="500" t="str">
        <f>IFERROR(VLOOKUP(J112,'base dados'!$B$2:$E$12,4,FALSE),"")</f>
        <v/>
      </c>
      <c r="P112" s="439"/>
      <c r="Q112" s="438"/>
      <c r="R112" s="438"/>
      <c r="S112" s="438"/>
      <c r="T112" s="438"/>
      <c r="U112" s="438"/>
      <c r="V112" s="438"/>
      <c r="W112" s="493"/>
      <c r="X112" s="500">
        <f t="shared" si="23"/>
        <v>0</v>
      </c>
      <c r="Y112" s="500" t="str">
        <f t="shared" si="18"/>
        <v xml:space="preserve"> X </v>
      </c>
      <c r="Z112" s="500">
        <f>IFERROR(VLOOKUP(Y112,PID!$A$4:$B$247,2,FALSE),0)</f>
        <v>0</v>
      </c>
      <c r="AA112" s="515">
        <f t="shared" si="19"/>
        <v>0</v>
      </c>
      <c r="AB112" s="515">
        <f t="shared" si="20"/>
        <v>0</v>
      </c>
      <c r="AC112" s="498">
        <f>IFERROR(VLOOKUP(I112,'base dados'!$B$2:$D$49,2,FALSE),0)</f>
        <v>0</v>
      </c>
      <c r="AD112" s="498">
        <f t="shared" si="21"/>
        <v>0</v>
      </c>
      <c r="AE112" s="498">
        <f>IFERROR(VLOOKUP(J112,'base dados'!$B$2:$D$49,2,FALSE),0)*AJ112</f>
        <v>0</v>
      </c>
      <c r="AF112" s="498">
        <f t="shared" si="24"/>
        <v>0</v>
      </c>
      <c r="AG112" s="499">
        <f t="shared" si="22"/>
        <v>0</v>
      </c>
      <c r="AH112" s="564"/>
    </row>
    <row r="113" spans="2:37" s="482" customFormat="1" ht="48.6" customHeight="1" x14ac:dyDescent="0.2">
      <c r="B113" s="509">
        <f>IFERROR(VLOOKUP(I113,'base dados'!$K$2:$L$3,2,FALSE),0)</f>
        <v>0</v>
      </c>
      <c r="C113" s="509">
        <f>IFERROR(VLOOKUP(J113,'base dados'!$M$2:$N$5,2,FALSE),0)</f>
        <v>0</v>
      </c>
      <c r="D113" s="514">
        <f t="shared" si="25"/>
        <v>105</v>
      </c>
      <c r="E113" s="438"/>
      <c r="F113" s="438"/>
      <c r="G113" s="438"/>
      <c r="H113" s="438"/>
      <c r="I113" s="481"/>
      <c r="J113" s="487"/>
      <c r="K113" s="439"/>
      <c r="L113" s="467"/>
      <c r="M113" s="439"/>
      <c r="N113" s="439"/>
      <c r="O113" s="500" t="str">
        <f>IFERROR(VLOOKUP(J113,'base dados'!$B$2:$E$12,4,FALSE),"")</f>
        <v/>
      </c>
      <c r="P113" s="439"/>
      <c r="Q113" s="438"/>
      <c r="R113" s="438"/>
      <c r="S113" s="438"/>
      <c r="T113" s="438"/>
      <c r="U113" s="438"/>
      <c r="V113" s="438"/>
      <c r="W113" s="493"/>
      <c r="X113" s="500">
        <f t="shared" si="23"/>
        <v>0</v>
      </c>
      <c r="Y113" s="500" t="str">
        <f t="shared" si="18"/>
        <v xml:space="preserve"> X </v>
      </c>
      <c r="Z113" s="500">
        <f>IFERROR(VLOOKUP(Y113,PID!$A$4:$B$247,2,FALSE),0)</f>
        <v>0</v>
      </c>
      <c r="AA113" s="515">
        <f t="shared" si="19"/>
        <v>0</v>
      </c>
      <c r="AB113" s="515">
        <f t="shared" si="20"/>
        <v>0</v>
      </c>
      <c r="AC113" s="498">
        <f>IFERROR(VLOOKUP(I113,'base dados'!$B$2:$D$49,2,FALSE),0)</f>
        <v>0</v>
      </c>
      <c r="AD113" s="498">
        <f t="shared" si="21"/>
        <v>0</v>
      </c>
      <c r="AE113" s="498">
        <f>IFERROR(VLOOKUP(J113,'base dados'!$B$2:$D$49,2,FALSE),0)*AJ113</f>
        <v>0</v>
      </c>
      <c r="AF113" s="498">
        <f t="shared" si="24"/>
        <v>0</v>
      </c>
      <c r="AG113" s="499">
        <f t="shared" si="22"/>
        <v>0</v>
      </c>
      <c r="AH113" s="564"/>
    </row>
    <row r="114" spans="2:37" s="482" customFormat="1" ht="44.4" customHeight="1" x14ac:dyDescent="0.45">
      <c r="D114" s="458"/>
      <c r="E114" s="462"/>
      <c r="F114" s="462"/>
      <c r="G114" s="462"/>
      <c r="H114" s="462"/>
      <c r="I114" s="462"/>
      <c r="J114" s="462"/>
      <c r="K114" s="459"/>
      <c r="L114" s="460"/>
      <c r="M114" s="461"/>
      <c r="N114" s="461"/>
      <c r="O114" s="461"/>
      <c r="P114" s="461"/>
      <c r="Q114" s="461"/>
      <c r="R114" s="552">
        <f>SUBTOTAL(9,R9:R113)</f>
        <v>552.94366197183001</v>
      </c>
      <c r="S114" s="553"/>
      <c r="T114" s="553"/>
      <c r="U114" s="553"/>
      <c r="V114" s="553"/>
      <c r="W114" s="553"/>
      <c r="X114" s="552">
        <f>SUBTOTAL(9,X9:X113)</f>
        <v>552.94366197183001</v>
      </c>
      <c r="Y114" s="554"/>
      <c r="Z114" s="555"/>
      <c r="AA114" s="552">
        <f>SUBTOTAL(9,AA9:AA113)</f>
        <v>346.31900000000002</v>
      </c>
      <c r="AB114" s="552">
        <f>SUBTOTAL(9,AB9:AB113)</f>
        <v>17.315950000000001</v>
      </c>
      <c r="AC114" s="506"/>
      <c r="AD114" s="551">
        <f>SUBTOTAL(9,AD9:AD113)</f>
        <v>0</v>
      </c>
      <c r="AE114" s="507"/>
      <c r="AF114" s="551">
        <f>SUBTOTAL(9,AF9:AF113)</f>
        <v>141707.37454699998</v>
      </c>
      <c r="AG114" s="551">
        <f>SUBTOTAL(9,AG9:AG113)</f>
        <v>141707.37454699998</v>
      </c>
      <c r="AH114" s="565" t="e">
        <f>AG114+#REF!</f>
        <v>#REF!</v>
      </c>
      <c r="AJ114" s="483">
        <f>AG114/X114</f>
        <v>256.27814240905315</v>
      </c>
      <c r="AK114" s="560">
        <f>AG114+27000</f>
        <v>168707.37454699998</v>
      </c>
    </row>
    <row r="115" spans="2:37" x14ac:dyDescent="0.3">
      <c r="D115" s="441"/>
      <c r="E115" s="441"/>
      <c r="F115" s="441"/>
      <c r="G115" s="441"/>
      <c r="H115" s="441"/>
      <c r="I115" s="441"/>
      <c r="J115" s="441"/>
      <c r="K115" s="441"/>
      <c r="L115" s="441"/>
      <c r="M115" s="441"/>
      <c r="N115" s="441"/>
      <c r="O115" s="441"/>
      <c r="P115" s="441"/>
      <c r="Q115" s="441"/>
      <c r="R115" s="441"/>
      <c r="S115" s="441"/>
      <c r="T115" s="441"/>
      <c r="U115" s="441"/>
      <c r="V115" s="441"/>
      <c r="W115" s="441"/>
      <c r="X115" s="441"/>
      <c r="Y115" s="441"/>
      <c r="Z115" s="441"/>
      <c r="AA115" s="441"/>
      <c r="AB115" s="441"/>
      <c r="AC115" s="441"/>
      <c r="AD115" s="441"/>
      <c r="AE115" s="441"/>
      <c r="AF115" s="441"/>
      <c r="AG115" s="441"/>
      <c r="AH115" s="441"/>
    </row>
    <row r="116" spans="2:37" ht="45.6" customHeight="1" x14ac:dyDescent="0.3">
      <c r="D116" s="442" t="s">
        <v>456</v>
      </c>
      <c r="E116" s="442"/>
      <c r="F116" s="442"/>
      <c r="G116" s="442"/>
      <c r="H116" s="442"/>
      <c r="I116" s="442"/>
      <c r="J116" s="442"/>
      <c r="K116" s="442"/>
      <c r="L116" s="442"/>
      <c r="M116" s="442"/>
      <c r="N116" s="442"/>
      <c r="O116" s="442"/>
      <c r="P116" s="442"/>
      <c r="Q116" s="442"/>
      <c r="R116" s="442"/>
      <c r="S116" s="442"/>
      <c r="T116" s="442"/>
      <c r="U116" s="442"/>
      <c r="V116" s="442"/>
      <c r="W116" s="442"/>
      <c r="X116" s="442"/>
      <c r="Y116" s="442"/>
      <c r="Z116" s="442"/>
      <c r="AA116" s="442"/>
      <c r="AB116" s="442"/>
      <c r="AC116" s="442"/>
      <c r="AD116" s="516"/>
      <c r="AE116" s="442"/>
      <c r="AF116" s="516"/>
      <c r="AG116" s="442"/>
      <c r="AH116" s="442"/>
    </row>
    <row r="117" spans="2:37" ht="14.25" customHeight="1" x14ac:dyDescent="0.3">
      <c r="D117" s="441"/>
      <c r="E117" s="441"/>
      <c r="F117" s="441"/>
      <c r="G117" s="441"/>
      <c r="H117" s="441"/>
      <c r="I117" s="441"/>
      <c r="J117" s="441"/>
      <c r="K117" s="441"/>
      <c r="L117" s="441"/>
      <c r="M117" s="441"/>
      <c r="N117" s="441"/>
      <c r="O117" s="441"/>
      <c r="P117" s="441"/>
      <c r="Q117" s="441"/>
      <c r="R117" s="441"/>
      <c r="S117" s="441"/>
      <c r="T117" s="441"/>
      <c r="U117" s="441"/>
      <c r="V117" s="441"/>
      <c r="W117" s="441"/>
      <c r="X117" s="441"/>
      <c r="Y117" s="441"/>
      <c r="Z117" s="441"/>
      <c r="AA117" s="441"/>
      <c r="AB117" s="441"/>
      <c r="AC117" s="441"/>
      <c r="AD117" s="441"/>
      <c r="AE117" s="441"/>
      <c r="AF117" s="441"/>
      <c r="AG117" s="441"/>
      <c r="AH117" s="441"/>
    </row>
    <row r="120" spans="2:37" x14ac:dyDescent="0.3">
      <c r="D120" s="443"/>
      <c r="E120" s="443"/>
      <c r="F120" s="443"/>
      <c r="G120" s="443"/>
      <c r="H120" s="443"/>
      <c r="I120" s="443"/>
      <c r="J120" s="443"/>
      <c r="K120" s="443"/>
      <c r="L120" s="443"/>
      <c r="M120" s="443"/>
      <c r="N120" s="443"/>
      <c r="O120" s="443"/>
      <c r="P120" s="443"/>
      <c r="Q120" s="443"/>
    </row>
    <row r="121" spans="2:37" x14ac:dyDescent="0.3">
      <c r="D121" s="437"/>
      <c r="E121" s="437"/>
      <c r="F121" s="437"/>
      <c r="G121" s="437"/>
      <c r="H121" s="437"/>
      <c r="I121" s="437"/>
      <c r="J121" s="437"/>
      <c r="K121" s="437"/>
      <c r="L121" s="437"/>
      <c r="M121" s="437"/>
      <c r="N121" s="437"/>
      <c r="O121" s="437"/>
      <c r="P121" s="437"/>
      <c r="Q121" s="437"/>
    </row>
    <row r="122" spans="2:37" x14ac:dyDescent="0.3">
      <c r="D122" s="437"/>
      <c r="E122" s="437"/>
      <c r="F122" s="437"/>
      <c r="G122" s="437"/>
      <c r="H122" s="437"/>
      <c r="I122" s="437"/>
      <c r="J122" s="437"/>
      <c r="K122" s="437"/>
      <c r="L122" s="437"/>
      <c r="M122" s="437"/>
      <c r="N122" s="437"/>
      <c r="O122" s="437"/>
      <c r="P122" s="437"/>
      <c r="Q122" s="437"/>
    </row>
    <row r="123" spans="2:37" x14ac:dyDescent="0.3">
      <c r="D123" s="437"/>
      <c r="E123" s="437"/>
      <c r="F123" s="437"/>
      <c r="G123" s="437"/>
      <c r="H123" s="437"/>
      <c r="I123" s="437"/>
      <c r="J123" s="437"/>
      <c r="K123" s="437"/>
      <c r="L123" s="437"/>
      <c r="M123" s="437"/>
      <c r="N123" s="437"/>
      <c r="O123" s="437"/>
      <c r="P123" s="437"/>
      <c r="Q123" s="437"/>
    </row>
    <row r="124" spans="2:37" x14ac:dyDescent="0.3">
      <c r="D124" s="437"/>
      <c r="E124" s="437"/>
      <c r="F124" s="437"/>
      <c r="G124" s="437"/>
      <c r="H124" s="437"/>
      <c r="I124" s="437"/>
      <c r="J124" s="437"/>
      <c r="K124" s="437"/>
      <c r="L124" s="437"/>
      <c r="M124" s="437"/>
      <c r="N124" s="437"/>
      <c r="O124" s="437"/>
      <c r="P124" s="437"/>
      <c r="Q124" s="437"/>
    </row>
    <row r="125" spans="2:37" x14ac:dyDescent="0.3">
      <c r="D125" s="437"/>
      <c r="E125" s="437"/>
      <c r="F125" s="437"/>
      <c r="G125" s="437"/>
      <c r="H125" s="437"/>
      <c r="I125" s="437"/>
      <c r="J125" s="437"/>
      <c r="K125" s="437"/>
      <c r="L125" s="437"/>
      <c r="M125" s="437"/>
      <c r="N125" s="437"/>
      <c r="O125" s="437"/>
      <c r="P125" s="437"/>
      <c r="Q125" s="437"/>
    </row>
    <row r="126" spans="2:37" x14ac:dyDescent="0.3">
      <c r="D126" s="437"/>
      <c r="E126" s="437"/>
      <c r="F126" s="437"/>
      <c r="G126" s="437"/>
      <c r="H126" s="437"/>
      <c r="I126" s="437"/>
      <c r="J126" s="437"/>
      <c r="K126" s="437"/>
      <c r="L126" s="437"/>
      <c r="M126" s="437"/>
      <c r="N126" s="437"/>
      <c r="O126" s="437"/>
      <c r="P126" s="437"/>
      <c r="Q126" s="437"/>
    </row>
  </sheetData>
  <sheetProtection selectLockedCells="1" selectUnlockedCells="1"/>
  <mergeCells count="5">
    <mergeCell ref="D6:AG6"/>
    <mergeCell ref="D7:Q7"/>
    <mergeCell ref="R7:W7"/>
    <mergeCell ref="X7:AB7"/>
    <mergeCell ref="AC7:AG7"/>
  </mergeCells>
  <printOptions horizontalCentered="1" verticalCentered="1"/>
  <pageMargins left="0.19685039370078741" right="0.27559055118110237" top="0.35433070866141736" bottom="0.15748031496062992" header="0.51181102362204722" footer="0.51181102362204722"/>
  <pageSetup paperSize="9" scale="51" firstPageNumber="0" fitToHeight="0" orientation="landscape" r:id="rId1"/>
  <headerFooter alignWithMargins="0"/>
  <drawing r:id="rId2"/>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900-000000000000}">
          <x14:formula1>
            <xm:f>'base dados'!$M$2:$M$5</xm:f>
          </x14:formula1>
          <xm:sqref>J19:J113</xm:sqref>
        </x14:dataValidation>
        <x14:dataValidation type="list" allowBlank="1" showInputMessage="1" showErrorMessage="1" xr:uid="{00000000-0002-0000-0900-000001000000}">
          <x14:formula1>
            <xm:f>'base dados'!$M$2:$M$7</xm:f>
          </x14:formula1>
          <xm:sqref>J9:J18</xm:sqref>
        </x14:dataValidation>
        <x14:dataValidation type="list" allowBlank="1" showInputMessage="1" showErrorMessage="1" xr:uid="{00000000-0002-0000-0900-000002000000}">
          <x14:formula1>
            <xm:f>'base dados'!$K$2:$K$3</xm:f>
          </x14:formula1>
          <xm:sqref>I9:I113</xm:sqref>
        </x14:dataValidation>
        <x14:dataValidation type="list" allowBlank="1" showInputMessage="1" showErrorMessage="1" xr:uid="{00000000-0002-0000-0900-000003000000}">
          <x14:formula1>
            <xm:f>'base dados'!$B$4:$B$12</xm:f>
          </x14:formula1>
          <xm:sqref>N9:N113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4"/>
  <dimension ref="A1:B247"/>
  <sheetViews>
    <sheetView showGridLines="0" workbookViewId="0">
      <selection activeCell="A20" sqref="A20"/>
    </sheetView>
  </sheetViews>
  <sheetFormatPr defaultColWidth="8.88671875" defaultRowHeight="13.2" x14ac:dyDescent="0.25"/>
  <cols>
    <col min="1" max="1" width="20.109375" customWidth="1"/>
    <col min="2" max="2" width="20.44140625" customWidth="1"/>
  </cols>
  <sheetData>
    <row r="1" spans="1:2" x14ac:dyDescent="0.25">
      <c r="A1" s="1020" t="s">
        <v>284</v>
      </c>
      <c r="B1" s="1021"/>
    </row>
    <row r="2" spans="1:2" x14ac:dyDescent="0.25">
      <c r="A2" s="1022"/>
      <c r="B2" s="1023"/>
    </row>
    <row r="3" spans="1:2" ht="13.8" thickBot="1" x14ac:dyDescent="0.3">
      <c r="A3" s="1022"/>
      <c r="B3" s="1023"/>
    </row>
    <row r="4" spans="1:2" ht="14.4" thickBot="1" x14ac:dyDescent="0.3">
      <c r="A4" s="59">
        <v>0</v>
      </c>
      <c r="B4" s="62">
        <v>0</v>
      </c>
    </row>
    <row r="5" spans="1:2" ht="14.4" thickBot="1" x14ac:dyDescent="0.3">
      <c r="A5" s="59" t="s">
        <v>799</v>
      </c>
      <c r="B5" s="62">
        <v>0.26</v>
      </c>
    </row>
    <row r="6" spans="1:2" ht="14.4" thickBot="1" x14ac:dyDescent="0.3">
      <c r="A6" s="59" t="s">
        <v>800</v>
      </c>
      <c r="B6" s="61">
        <v>0.33</v>
      </c>
    </row>
    <row r="7" spans="1:2" ht="14.4" thickBot="1" x14ac:dyDescent="0.3">
      <c r="A7" s="59" t="s">
        <v>801</v>
      </c>
      <c r="B7" s="61">
        <v>0.41</v>
      </c>
    </row>
    <row r="8" spans="1:2" ht="14.4" thickBot="1" x14ac:dyDescent="0.3">
      <c r="A8" s="59" t="s">
        <v>802</v>
      </c>
      <c r="B8" s="61">
        <v>0.49</v>
      </c>
    </row>
    <row r="9" spans="1:2" ht="14.4" thickBot="1" x14ac:dyDescent="0.3">
      <c r="A9" s="59" t="s">
        <v>803</v>
      </c>
      <c r="B9" s="61">
        <v>0.56999999999999995</v>
      </c>
    </row>
    <row r="10" spans="1:2" ht="14.4" thickBot="1" x14ac:dyDescent="0.3">
      <c r="A10" s="59" t="s">
        <v>804</v>
      </c>
      <c r="B10" s="61">
        <v>0.65</v>
      </c>
    </row>
    <row r="11" spans="1:2" ht="14.4" thickBot="1" x14ac:dyDescent="0.3">
      <c r="A11" s="59" t="s">
        <v>805</v>
      </c>
      <c r="B11" s="61">
        <v>0.73</v>
      </c>
    </row>
    <row r="12" spans="1:2" ht="14.4" thickBot="1" x14ac:dyDescent="0.3">
      <c r="A12" s="59" t="s">
        <v>806</v>
      </c>
      <c r="B12" s="61">
        <v>0.81</v>
      </c>
    </row>
    <row r="13" spans="1:2" ht="14.4" thickBot="1" x14ac:dyDescent="0.3">
      <c r="A13" s="59" t="s">
        <v>807</v>
      </c>
      <c r="B13" s="61">
        <v>0.88</v>
      </c>
    </row>
    <row r="14" spans="1:2" ht="14.4" thickBot="1" x14ac:dyDescent="0.3">
      <c r="A14" s="59" t="s">
        <v>828</v>
      </c>
      <c r="B14" s="60">
        <v>0.27</v>
      </c>
    </row>
    <row r="15" spans="1:2" ht="14.4" thickBot="1" x14ac:dyDescent="0.3">
      <c r="A15" s="59" t="s">
        <v>829</v>
      </c>
      <c r="B15" s="58">
        <v>0.35</v>
      </c>
    </row>
    <row r="16" spans="1:2" ht="14.4" thickBot="1" x14ac:dyDescent="0.3">
      <c r="A16" s="59" t="s">
        <v>830</v>
      </c>
      <c r="B16" s="58">
        <v>0.43</v>
      </c>
    </row>
    <row r="17" spans="1:2" ht="14.4" thickBot="1" x14ac:dyDescent="0.3">
      <c r="A17" s="59" t="s">
        <v>831</v>
      </c>
      <c r="B17" s="58">
        <v>0.51</v>
      </c>
    </row>
    <row r="18" spans="1:2" ht="14.4" thickBot="1" x14ac:dyDescent="0.3">
      <c r="A18" s="59" t="s">
        <v>832</v>
      </c>
      <c r="B18" s="58">
        <v>0.59</v>
      </c>
    </row>
    <row r="19" spans="1:2" ht="14.4" thickBot="1" x14ac:dyDescent="0.3">
      <c r="A19" s="59" t="s">
        <v>833</v>
      </c>
      <c r="B19" s="58">
        <v>0.66</v>
      </c>
    </row>
    <row r="20" spans="1:2" ht="14.4" thickBot="1" x14ac:dyDescent="0.3">
      <c r="A20" s="59" t="s">
        <v>283</v>
      </c>
      <c r="B20" s="58">
        <v>0.74</v>
      </c>
    </row>
    <row r="21" spans="1:2" ht="14.4" thickBot="1" x14ac:dyDescent="0.3">
      <c r="A21" s="59" t="s">
        <v>282</v>
      </c>
      <c r="B21" s="58">
        <v>0.82</v>
      </c>
    </row>
    <row r="22" spans="1:2" ht="14.4" thickBot="1" x14ac:dyDescent="0.3">
      <c r="A22" s="59" t="s">
        <v>281</v>
      </c>
      <c r="B22" s="58">
        <v>0.9</v>
      </c>
    </row>
    <row r="23" spans="1:2" ht="14.4" thickBot="1" x14ac:dyDescent="0.3">
      <c r="A23" s="59" t="s">
        <v>280</v>
      </c>
      <c r="B23" s="60">
        <v>0.28999999999999998</v>
      </c>
    </row>
    <row r="24" spans="1:2" ht="14.4" thickBot="1" x14ac:dyDescent="0.3">
      <c r="A24" s="59" t="s">
        <v>279</v>
      </c>
      <c r="B24" s="58">
        <v>0.37</v>
      </c>
    </row>
    <row r="25" spans="1:2" ht="14.4" thickBot="1" x14ac:dyDescent="0.3">
      <c r="A25" s="59" t="s">
        <v>278</v>
      </c>
      <c r="B25" s="58">
        <v>0.45</v>
      </c>
    </row>
    <row r="26" spans="1:2" ht="14.4" thickBot="1" x14ac:dyDescent="0.3">
      <c r="A26" s="59" t="s">
        <v>277</v>
      </c>
      <c r="B26" s="58">
        <v>0.53</v>
      </c>
    </row>
    <row r="27" spans="1:2" ht="14.4" thickBot="1" x14ac:dyDescent="0.3">
      <c r="A27" s="59" t="s">
        <v>276</v>
      </c>
      <c r="B27" s="58">
        <v>0.61</v>
      </c>
    </row>
    <row r="28" spans="1:2" ht="14.4" thickBot="1" x14ac:dyDescent="0.3">
      <c r="A28" s="59" t="s">
        <v>275</v>
      </c>
      <c r="B28" s="58">
        <v>0.69</v>
      </c>
    </row>
    <row r="29" spans="1:2" ht="14.4" thickBot="1" x14ac:dyDescent="0.3">
      <c r="A29" s="59" t="s">
        <v>274</v>
      </c>
      <c r="B29" s="58">
        <v>0.76</v>
      </c>
    </row>
    <row r="30" spans="1:2" ht="14.4" thickBot="1" x14ac:dyDescent="0.3">
      <c r="A30" s="59" t="s">
        <v>273</v>
      </c>
      <c r="B30" s="58">
        <v>0.84</v>
      </c>
    </row>
    <row r="31" spans="1:2" ht="14.4" thickBot="1" x14ac:dyDescent="0.3">
      <c r="A31" s="59" t="s">
        <v>272</v>
      </c>
      <c r="B31" s="58">
        <v>0.92</v>
      </c>
    </row>
    <row r="32" spans="1:2" ht="14.4" thickBot="1" x14ac:dyDescent="0.3">
      <c r="A32" s="59" t="s">
        <v>808</v>
      </c>
      <c r="B32" s="60">
        <v>0.34</v>
      </c>
    </row>
    <row r="33" spans="1:2" ht="14.4" thickBot="1" x14ac:dyDescent="0.3">
      <c r="A33" s="59" t="s">
        <v>809</v>
      </c>
      <c r="B33" s="58">
        <v>0.42</v>
      </c>
    </row>
    <row r="34" spans="1:2" ht="14.4" thickBot="1" x14ac:dyDescent="0.3">
      <c r="A34" s="59" t="s">
        <v>810</v>
      </c>
      <c r="B34" s="58">
        <v>0.5</v>
      </c>
    </row>
    <row r="35" spans="1:2" ht="14.4" thickBot="1" x14ac:dyDescent="0.3">
      <c r="A35" s="59" t="s">
        <v>811</v>
      </c>
      <c r="B35" s="58">
        <v>0.57999999999999996</v>
      </c>
    </row>
    <row r="36" spans="1:2" ht="14.4" thickBot="1" x14ac:dyDescent="0.3">
      <c r="A36" s="59" t="s">
        <v>812</v>
      </c>
      <c r="B36" s="58">
        <v>0.65</v>
      </c>
    </row>
    <row r="37" spans="1:2" ht="14.4" thickBot="1" x14ac:dyDescent="0.3">
      <c r="A37" s="59" t="s">
        <v>813</v>
      </c>
      <c r="B37" s="58">
        <v>0.73</v>
      </c>
    </row>
    <row r="38" spans="1:2" ht="14.4" thickBot="1" x14ac:dyDescent="0.3">
      <c r="A38" s="59" t="s">
        <v>814</v>
      </c>
      <c r="B38" s="58">
        <v>0.81</v>
      </c>
    </row>
    <row r="39" spans="1:2" ht="14.4" thickBot="1" x14ac:dyDescent="0.3">
      <c r="A39" s="59" t="s">
        <v>815</v>
      </c>
      <c r="B39" s="58">
        <v>0.89</v>
      </c>
    </row>
    <row r="40" spans="1:2" ht="14.4" thickBot="1" x14ac:dyDescent="0.3">
      <c r="A40" s="59" t="s">
        <v>816</v>
      </c>
      <c r="B40" s="58">
        <v>0.97</v>
      </c>
    </row>
    <row r="41" spans="1:2" ht="14.4" thickBot="1" x14ac:dyDescent="0.3">
      <c r="A41" s="59" t="s">
        <v>271</v>
      </c>
      <c r="B41" s="60">
        <v>0.38</v>
      </c>
    </row>
    <row r="42" spans="1:2" ht="14.4" thickBot="1" x14ac:dyDescent="0.3">
      <c r="A42" s="59" t="s">
        <v>270</v>
      </c>
      <c r="B42" s="58">
        <v>0.46</v>
      </c>
    </row>
    <row r="43" spans="1:2" ht="14.4" thickBot="1" x14ac:dyDescent="0.3">
      <c r="A43" s="59" t="s">
        <v>269</v>
      </c>
      <c r="B43" s="58">
        <v>0.54</v>
      </c>
    </row>
    <row r="44" spans="1:2" ht="14.4" thickBot="1" x14ac:dyDescent="0.3">
      <c r="A44" s="59" t="s">
        <v>268</v>
      </c>
      <c r="B44" s="58">
        <v>0.61</v>
      </c>
    </row>
    <row r="45" spans="1:2" ht="14.4" thickBot="1" x14ac:dyDescent="0.3">
      <c r="A45" s="59" t="s">
        <v>267</v>
      </c>
      <c r="B45" s="58">
        <v>0.69</v>
      </c>
    </row>
    <row r="46" spans="1:2" ht="14.4" thickBot="1" x14ac:dyDescent="0.3">
      <c r="A46" s="59" t="s">
        <v>266</v>
      </c>
      <c r="B46" s="58">
        <v>0.77</v>
      </c>
    </row>
    <row r="47" spans="1:2" ht="14.4" thickBot="1" x14ac:dyDescent="0.3">
      <c r="A47" s="59" t="s">
        <v>265</v>
      </c>
      <c r="B47" s="58">
        <v>0.85</v>
      </c>
    </row>
    <row r="48" spans="1:2" ht="14.4" thickBot="1" x14ac:dyDescent="0.3">
      <c r="A48" s="59" t="s">
        <v>264</v>
      </c>
      <c r="B48" s="58">
        <v>0.93</v>
      </c>
    </row>
    <row r="49" spans="1:2" ht="14.4" thickBot="1" x14ac:dyDescent="0.3">
      <c r="A49" s="59" t="s">
        <v>263</v>
      </c>
      <c r="B49" s="58">
        <v>1.01</v>
      </c>
    </row>
    <row r="50" spans="1:2" ht="14.4" thickBot="1" x14ac:dyDescent="0.3">
      <c r="A50" s="59" t="s">
        <v>262</v>
      </c>
      <c r="B50" s="60">
        <v>0.42</v>
      </c>
    </row>
    <row r="51" spans="1:2" ht="14.4" thickBot="1" x14ac:dyDescent="0.3">
      <c r="A51" s="59" t="s">
        <v>261</v>
      </c>
      <c r="B51" s="58">
        <v>0.5</v>
      </c>
    </row>
    <row r="52" spans="1:2" ht="14.4" thickBot="1" x14ac:dyDescent="0.3">
      <c r="A52" s="59" t="s">
        <v>817</v>
      </c>
      <c r="B52" s="58">
        <v>0.56999999999999995</v>
      </c>
    </row>
    <row r="53" spans="1:2" ht="14.4" thickBot="1" x14ac:dyDescent="0.3">
      <c r="A53" s="59" t="s">
        <v>260</v>
      </c>
      <c r="B53" s="58">
        <v>0.65</v>
      </c>
    </row>
    <row r="54" spans="1:2" ht="14.4" thickBot="1" x14ac:dyDescent="0.3">
      <c r="A54" s="59" t="s">
        <v>259</v>
      </c>
      <c r="B54" s="58">
        <v>0.73</v>
      </c>
    </row>
    <row r="55" spans="1:2" ht="14.4" thickBot="1" x14ac:dyDescent="0.3">
      <c r="A55" s="59" t="s">
        <v>258</v>
      </c>
      <c r="B55" s="58">
        <v>0.81</v>
      </c>
    </row>
    <row r="56" spans="1:2" ht="14.4" thickBot="1" x14ac:dyDescent="0.3">
      <c r="A56" s="59" t="s">
        <v>257</v>
      </c>
      <c r="B56" s="58">
        <v>0.89</v>
      </c>
    </row>
    <row r="57" spans="1:2" ht="14.4" thickBot="1" x14ac:dyDescent="0.3">
      <c r="A57" s="59" t="s">
        <v>256</v>
      </c>
      <c r="B57" s="58">
        <v>0.97</v>
      </c>
    </row>
    <row r="58" spans="1:2" ht="14.4" thickBot="1" x14ac:dyDescent="0.3">
      <c r="A58" s="59" t="s">
        <v>255</v>
      </c>
      <c r="B58" s="58">
        <v>1.05</v>
      </c>
    </row>
    <row r="59" spans="1:2" ht="14.4" thickBot="1" x14ac:dyDescent="0.3">
      <c r="A59" s="59" t="s">
        <v>254</v>
      </c>
      <c r="B59" s="60">
        <v>0.47</v>
      </c>
    </row>
    <row r="60" spans="1:2" ht="14.4" thickBot="1" x14ac:dyDescent="0.3">
      <c r="A60" s="59" t="s">
        <v>253</v>
      </c>
      <c r="B60" s="58">
        <v>0.55000000000000004</v>
      </c>
    </row>
    <row r="61" spans="1:2" ht="14.4" thickBot="1" x14ac:dyDescent="0.3">
      <c r="A61" s="59" t="s">
        <v>252</v>
      </c>
      <c r="B61" s="58">
        <v>0.62</v>
      </c>
    </row>
    <row r="62" spans="1:2" ht="14.4" thickBot="1" x14ac:dyDescent="0.3">
      <c r="A62" s="59" t="s">
        <v>251</v>
      </c>
      <c r="B62" s="58">
        <v>0.7</v>
      </c>
    </row>
    <row r="63" spans="1:2" ht="14.4" thickBot="1" x14ac:dyDescent="0.3">
      <c r="A63" s="59" t="s">
        <v>250</v>
      </c>
      <c r="B63" s="58">
        <v>0.78</v>
      </c>
    </row>
    <row r="64" spans="1:2" ht="14.4" thickBot="1" x14ac:dyDescent="0.3">
      <c r="A64" s="59" t="s">
        <v>249</v>
      </c>
      <c r="B64" s="58">
        <v>0.86</v>
      </c>
    </row>
    <row r="65" spans="1:2" ht="14.4" thickBot="1" x14ac:dyDescent="0.3">
      <c r="A65" s="59" t="s">
        <v>248</v>
      </c>
      <c r="B65" s="58">
        <v>0.94</v>
      </c>
    </row>
    <row r="66" spans="1:2" ht="14.4" thickBot="1" x14ac:dyDescent="0.3">
      <c r="A66" s="59" t="s">
        <v>247</v>
      </c>
      <c r="B66" s="58">
        <v>1.02</v>
      </c>
    </row>
    <row r="67" spans="1:2" ht="14.4" thickBot="1" x14ac:dyDescent="0.3">
      <c r="A67" s="59" t="s">
        <v>246</v>
      </c>
      <c r="B67" s="58">
        <v>1.1000000000000001</v>
      </c>
    </row>
    <row r="68" spans="1:2" ht="14.4" thickBot="1" x14ac:dyDescent="0.3">
      <c r="A68" s="59" t="s">
        <v>245</v>
      </c>
      <c r="B68" s="58">
        <v>0.55000000000000004</v>
      </c>
    </row>
    <row r="69" spans="1:2" ht="14.4" thickBot="1" x14ac:dyDescent="0.3">
      <c r="A69" s="59" t="s">
        <v>244</v>
      </c>
      <c r="B69" s="60">
        <v>0.63</v>
      </c>
    </row>
    <row r="70" spans="1:2" ht="14.4" thickBot="1" x14ac:dyDescent="0.3">
      <c r="A70" s="59" t="s">
        <v>243</v>
      </c>
      <c r="B70" s="58">
        <v>0.71</v>
      </c>
    </row>
    <row r="71" spans="1:2" ht="14.4" thickBot="1" x14ac:dyDescent="0.3">
      <c r="A71" s="59" t="s">
        <v>242</v>
      </c>
      <c r="B71" s="58">
        <v>0.79</v>
      </c>
    </row>
    <row r="72" spans="1:2" ht="14.4" thickBot="1" x14ac:dyDescent="0.3">
      <c r="A72" s="59" t="s">
        <v>241</v>
      </c>
      <c r="B72" s="58">
        <v>0.87</v>
      </c>
    </row>
    <row r="73" spans="1:2" ht="14.4" thickBot="1" x14ac:dyDescent="0.3">
      <c r="A73" s="59" t="s">
        <v>240</v>
      </c>
      <c r="B73" s="58">
        <v>0.95</v>
      </c>
    </row>
    <row r="74" spans="1:2" ht="14.4" thickBot="1" x14ac:dyDescent="0.3">
      <c r="A74" s="59" t="s">
        <v>239</v>
      </c>
      <c r="B74" s="58">
        <v>1.03</v>
      </c>
    </row>
    <row r="75" spans="1:2" ht="14.4" thickBot="1" x14ac:dyDescent="0.3">
      <c r="A75" s="59" t="s">
        <v>238</v>
      </c>
      <c r="B75" s="58">
        <v>1.1000000000000001</v>
      </c>
    </row>
    <row r="76" spans="1:2" ht="14.4" thickBot="1" x14ac:dyDescent="0.3">
      <c r="A76" s="59" t="s">
        <v>237</v>
      </c>
      <c r="B76" s="58">
        <v>1.18</v>
      </c>
    </row>
    <row r="77" spans="1:2" ht="14.4" thickBot="1" x14ac:dyDescent="0.3">
      <c r="A77" s="59" t="s">
        <v>236</v>
      </c>
      <c r="B77" s="58">
        <v>0.55000000000000004</v>
      </c>
    </row>
    <row r="78" spans="1:2" ht="14.4" thickBot="1" x14ac:dyDescent="0.3">
      <c r="A78" s="59" t="s">
        <v>235</v>
      </c>
      <c r="B78" s="60">
        <v>0.72</v>
      </c>
    </row>
    <row r="79" spans="1:2" ht="14.4" thickBot="1" x14ac:dyDescent="0.3">
      <c r="A79" s="59" t="s">
        <v>234</v>
      </c>
      <c r="B79" s="58">
        <v>0.8</v>
      </c>
    </row>
    <row r="80" spans="1:2" ht="14.4" thickBot="1" x14ac:dyDescent="0.3">
      <c r="A80" s="59" t="s">
        <v>233</v>
      </c>
      <c r="B80" s="58">
        <v>0.87</v>
      </c>
    </row>
    <row r="81" spans="1:2" ht="14.4" thickBot="1" x14ac:dyDescent="0.3">
      <c r="A81" s="59" t="s">
        <v>232</v>
      </c>
      <c r="B81" s="58">
        <v>0.95</v>
      </c>
    </row>
    <row r="82" spans="1:2" ht="14.4" thickBot="1" x14ac:dyDescent="0.3">
      <c r="A82" s="59" t="s">
        <v>231</v>
      </c>
      <c r="B82" s="58">
        <v>1.03</v>
      </c>
    </row>
    <row r="83" spans="1:2" ht="14.4" thickBot="1" x14ac:dyDescent="0.3">
      <c r="A83" s="59" t="s">
        <v>230</v>
      </c>
      <c r="B83" s="58">
        <v>1.1100000000000001</v>
      </c>
    </row>
    <row r="84" spans="1:2" ht="14.4" thickBot="1" x14ac:dyDescent="0.3">
      <c r="A84" s="59" t="s">
        <v>229</v>
      </c>
      <c r="B84" s="58">
        <v>1.19</v>
      </c>
    </row>
    <row r="85" spans="1:2" ht="14.4" thickBot="1" x14ac:dyDescent="0.3">
      <c r="A85" s="59" t="s">
        <v>228</v>
      </c>
      <c r="B85" s="58">
        <v>1.27</v>
      </c>
    </row>
    <row r="86" spans="1:2" ht="14.4" thickBot="1" x14ac:dyDescent="0.3">
      <c r="A86" s="59" t="s">
        <v>227</v>
      </c>
      <c r="B86" s="60">
        <v>0.88</v>
      </c>
    </row>
    <row r="87" spans="1:2" ht="14.4" thickBot="1" x14ac:dyDescent="0.3">
      <c r="A87" s="59" t="s">
        <v>226</v>
      </c>
      <c r="B87" s="58">
        <v>0.96</v>
      </c>
    </row>
    <row r="88" spans="1:2" ht="14.4" thickBot="1" x14ac:dyDescent="0.3">
      <c r="A88" s="59" t="s">
        <v>225</v>
      </c>
      <c r="B88" s="58">
        <v>1.03</v>
      </c>
    </row>
    <row r="89" spans="1:2" ht="14.4" thickBot="1" x14ac:dyDescent="0.3">
      <c r="A89" s="59" t="s">
        <v>224</v>
      </c>
      <c r="B89" s="58">
        <v>1.1100000000000001</v>
      </c>
    </row>
    <row r="90" spans="1:2" ht="14.4" thickBot="1" x14ac:dyDescent="0.3">
      <c r="A90" s="59" t="s">
        <v>223</v>
      </c>
      <c r="B90" s="58">
        <v>1.19</v>
      </c>
    </row>
    <row r="91" spans="1:2" ht="14.4" thickBot="1" x14ac:dyDescent="0.3">
      <c r="A91" s="59" t="s">
        <v>222</v>
      </c>
      <c r="B91" s="58">
        <v>1.27</v>
      </c>
    </row>
    <row r="92" spans="1:2" ht="14.4" thickBot="1" x14ac:dyDescent="0.3">
      <c r="A92" s="59" t="s">
        <v>221</v>
      </c>
      <c r="B92" s="58">
        <v>1.35</v>
      </c>
    </row>
    <row r="93" spans="1:2" ht="14.4" thickBot="1" x14ac:dyDescent="0.3">
      <c r="A93" s="59" t="s">
        <v>220</v>
      </c>
      <c r="B93" s="58">
        <v>1.43</v>
      </c>
    </row>
    <row r="94" spans="1:2" ht="14.4" thickBot="1" x14ac:dyDescent="0.3">
      <c r="A94" s="59" t="s">
        <v>219</v>
      </c>
      <c r="B94" s="58">
        <v>1.51</v>
      </c>
    </row>
    <row r="95" spans="1:2" ht="14.4" thickBot="1" x14ac:dyDescent="0.3">
      <c r="A95" s="59" t="s">
        <v>218</v>
      </c>
      <c r="B95" s="60">
        <v>1.05</v>
      </c>
    </row>
    <row r="96" spans="1:2" ht="14.4" thickBot="1" x14ac:dyDescent="0.3">
      <c r="A96" s="59" t="s">
        <v>217</v>
      </c>
      <c r="B96" s="58">
        <v>1.1299999999999999</v>
      </c>
    </row>
    <row r="97" spans="1:2" ht="14.4" thickBot="1" x14ac:dyDescent="0.3">
      <c r="A97" s="59" t="s">
        <v>216</v>
      </c>
      <c r="B97" s="58">
        <v>1.2</v>
      </c>
    </row>
    <row r="98" spans="1:2" ht="14.4" thickBot="1" x14ac:dyDescent="0.3">
      <c r="A98" s="59" t="s">
        <v>215</v>
      </c>
      <c r="B98" s="58">
        <v>1.28</v>
      </c>
    </row>
    <row r="99" spans="1:2" ht="14.4" thickBot="1" x14ac:dyDescent="0.3">
      <c r="A99" s="59" t="s">
        <v>214</v>
      </c>
      <c r="B99" s="58">
        <v>1.36</v>
      </c>
    </row>
    <row r="100" spans="1:2" ht="14.4" thickBot="1" x14ac:dyDescent="0.3">
      <c r="A100" s="59" t="s">
        <v>213</v>
      </c>
      <c r="B100" s="58">
        <v>1.44</v>
      </c>
    </row>
    <row r="101" spans="1:2" ht="14.4" thickBot="1" x14ac:dyDescent="0.3">
      <c r="A101" s="59" t="s">
        <v>212</v>
      </c>
      <c r="B101" s="58">
        <v>1.52</v>
      </c>
    </row>
    <row r="102" spans="1:2" ht="14.4" thickBot="1" x14ac:dyDescent="0.3">
      <c r="A102" s="59" t="s">
        <v>211</v>
      </c>
      <c r="B102" s="58">
        <v>1.6</v>
      </c>
    </row>
    <row r="103" spans="1:2" ht="14.4" thickBot="1" x14ac:dyDescent="0.3">
      <c r="A103" s="59" t="s">
        <v>210</v>
      </c>
      <c r="B103" s="58">
        <v>1.67</v>
      </c>
    </row>
    <row r="104" spans="1:2" ht="14.4" thickBot="1" x14ac:dyDescent="0.3">
      <c r="A104" s="59" t="s">
        <v>209</v>
      </c>
      <c r="B104" s="60">
        <v>1.21</v>
      </c>
    </row>
    <row r="105" spans="1:2" ht="14.4" thickBot="1" x14ac:dyDescent="0.3">
      <c r="A105" s="59" t="s">
        <v>208</v>
      </c>
      <c r="B105" s="58">
        <v>1.28</v>
      </c>
    </row>
    <row r="106" spans="1:2" ht="14.4" thickBot="1" x14ac:dyDescent="0.3">
      <c r="A106" s="59" t="s">
        <v>207</v>
      </c>
      <c r="B106" s="58">
        <v>1.36</v>
      </c>
    </row>
    <row r="107" spans="1:2" ht="14.4" thickBot="1" x14ac:dyDescent="0.3">
      <c r="A107" s="59" t="s">
        <v>206</v>
      </c>
      <c r="B107" s="58">
        <v>1.44</v>
      </c>
    </row>
    <row r="108" spans="1:2" ht="14.4" thickBot="1" x14ac:dyDescent="0.3">
      <c r="A108" s="59" t="s">
        <v>205</v>
      </c>
      <c r="B108" s="58">
        <v>1.52</v>
      </c>
    </row>
    <row r="109" spans="1:2" ht="14.4" thickBot="1" x14ac:dyDescent="0.3">
      <c r="A109" s="59" t="s">
        <v>204</v>
      </c>
      <c r="B109" s="58">
        <v>1.6</v>
      </c>
    </row>
    <row r="110" spans="1:2" ht="14.4" thickBot="1" x14ac:dyDescent="0.3">
      <c r="A110" s="59" t="s">
        <v>203</v>
      </c>
      <c r="B110" s="58">
        <v>1.68</v>
      </c>
    </row>
    <row r="111" spans="1:2" ht="14.4" thickBot="1" x14ac:dyDescent="0.3">
      <c r="A111" s="59" t="s">
        <v>202</v>
      </c>
      <c r="B111" s="58">
        <v>1.76</v>
      </c>
    </row>
    <row r="112" spans="1:2" ht="14.4" thickBot="1" x14ac:dyDescent="0.3">
      <c r="A112" s="59" t="s">
        <v>201</v>
      </c>
      <c r="B112" s="58">
        <v>1.83</v>
      </c>
    </row>
    <row r="113" spans="1:2" ht="14.4" thickBot="1" x14ac:dyDescent="0.3">
      <c r="A113" s="59" t="s">
        <v>200</v>
      </c>
      <c r="B113" s="60">
        <v>1.31</v>
      </c>
    </row>
    <row r="114" spans="1:2" ht="14.4" thickBot="1" x14ac:dyDescent="0.3">
      <c r="A114" s="59" t="s">
        <v>199</v>
      </c>
      <c r="B114" s="58">
        <v>1.38</v>
      </c>
    </row>
    <row r="115" spans="1:2" ht="14.4" thickBot="1" x14ac:dyDescent="0.3">
      <c r="A115" s="59" t="s">
        <v>198</v>
      </c>
      <c r="B115" s="58">
        <v>1.46</v>
      </c>
    </row>
    <row r="116" spans="1:2" ht="14.4" thickBot="1" x14ac:dyDescent="0.3">
      <c r="A116" s="59" t="s">
        <v>197</v>
      </c>
      <c r="B116" s="58">
        <v>1.54</v>
      </c>
    </row>
    <row r="117" spans="1:2" ht="14.4" thickBot="1" x14ac:dyDescent="0.3">
      <c r="A117" s="59" t="s">
        <v>196</v>
      </c>
      <c r="B117" s="58">
        <v>1.62</v>
      </c>
    </row>
    <row r="118" spans="1:2" ht="14.4" thickBot="1" x14ac:dyDescent="0.3">
      <c r="A118" s="59" t="s">
        <v>195</v>
      </c>
      <c r="B118" s="58">
        <v>1.7</v>
      </c>
    </row>
    <row r="119" spans="1:2" ht="14.4" thickBot="1" x14ac:dyDescent="0.3">
      <c r="A119" s="59" t="s">
        <v>194</v>
      </c>
      <c r="B119" s="58">
        <v>1.78</v>
      </c>
    </row>
    <row r="120" spans="1:2" ht="14.4" thickBot="1" x14ac:dyDescent="0.3">
      <c r="A120" s="59" t="s">
        <v>193</v>
      </c>
      <c r="B120" s="58">
        <v>1.86</v>
      </c>
    </row>
    <row r="121" spans="1:2" ht="14.4" thickBot="1" x14ac:dyDescent="0.3">
      <c r="A121" s="59" t="s">
        <v>192</v>
      </c>
      <c r="B121" s="58">
        <v>1.93</v>
      </c>
    </row>
    <row r="122" spans="1:2" ht="14.4" thickBot="1" x14ac:dyDescent="0.3">
      <c r="A122" s="59" t="s">
        <v>191</v>
      </c>
      <c r="B122" s="60">
        <v>1.47</v>
      </c>
    </row>
    <row r="123" spans="1:2" ht="14.4" thickBot="1" x14ac:dyDescent="0.3">
      <c r="A123" s="59" t="s">
        <v>190</v>
      </c>
      <c r="B123" s="58">
        <v>1.54</v>
      </c>
    </row>
    <row r="124" spans="1:2" ht="14.4" thickBot="1" x14ac:dyDescent="0.3">
      <c r="A124" s="59" t="s">
        <v>189</v>
      </c>
      <c r="B124" s="58">
        <v>1.62</v>
      </c>
    </row>
    <row r="125" spans="1:2" ht="14.4" thickBot="1" x14ac:dyDescent="0.3">
      <c r="A125" s="59" t="s">
        <v>188</v>
      </c>
      <c r="B125" s="58">
        <v>1.7</v>
      </c>
    </row>
    <row r="126" spans="1:2" ht="14.4" thickBot="1" x14ac:dyDescent="0.3">
      <c r="A126" s="59" t="s">
        <v>187</v>
      </c>
      <c r="B126" s="58">
        <v>1.78</v>
      </c>
    </row>
    <row r="127" spans="1:2" ht="14.4" thickBot="1" x14ac:dyDescent="0.3">
      <c r="A127" s="59" t="s">
        <v>186</v>
      </c>
      <c r="B127" s="58">
        <v>1.86</v>
      </c>
    </row>
    <row r="128" spans="1:2" ht="14.4" thickBot="1" x14ac:dyDescent="0.3">
      <c r="A128" s="59" t="s">
        <v>185</v>
      </c>
      <c r="B128" s="58">
        <v>1.94</v>
      </c>
    </row>
    <row r="129" spans="1:2" ht="14.4" thickBot="1" x14ac:dyDescent="0.3">
      <c r="A129" s="59" t="s">
        <v>184</v>
      </c>
      <c r="B129" s="58">
        <v>2.02</v>
      </c>
    </row>
    <row r="130" spans="1:2" ht="14.4" thickBot="1" x14ac:dyDescent="0.3">
      <c r="A130" s="59" t="s">
        <v>183</v>
      </c>
      <c r="B130" s="58">
        <v>2.09</v>
      </c>
    </row>
    <row r="131" spans="1:2" ht="14.4" thickBot="1" x14ac:dyDescent="0.3">
      <c r="A131" s="59" t="s">
        <v>182</v>
      </c>
      <c r="B131" s="60">
        <v>1.62</v>
      </c>
    </row>
    <row r="132" spans="1:2" ht="14.4" thickBot="1" x14ac:dyDescent="0.3">
      <c r="A132" s="59" t="s">
        <v>181</v>
      </c>
      <c r="B132" s="58">
        <v>1.7</v>
      </c>
    </row>
    <row r="133" spans="1:2" ht="14.4" thickBot="1" x14ac:dyDescent="0.3">
      <c r="A133" s="59" t="s">
        <v>180</v>
      </c>
      <c r="B133" s="58">
        <v>1.78</v>
      </c>
    </row>
    <row r="134" spans="1:2" ht="14.4" thickBot="1" x14ac:dyDescent="0.3">
      <c r="A134" s="59" t="s">
        <v>179</v>
      </c>
      <c r="B134" s="58">
        <v>1.8</v>
      </c>
    </row>
    <row r="135" spans="1:2" ht="14.4" thickBot="1" x14ac:dyDescent="0.3">
      <c r="A135" s="59" t="s">
        <v>178</v>
      </c>
      <c r="B135" s="58">
        <v>1.94</v>
      </c>
    </row>
    <row r="136" spans="1:2" ht="14.4" thickBot="1" x14ac:dyDescent="0.3">
      <c r="A136" s="59" t="s">
        <v>177</v>
      </c>
      <c r="B136" s="58">
        <v>2.02</v>
      </c>
    </row>
    <row r="137" spans="1:2" ht="14.4" thickBot="1" x14ac:dyDescent="0.3">
      <c r="A137" s="59" t="s">
        <v>176</v>
      </c>
      <c r="B137" s="58">
        <v>2.1</v>
      </c>
    </row>
    <row r="138" spans="1:2" ht="14.4" thickBot="1" x14ac:dyDescent="0.3">
      <c r="A138" s="59" t="s">
        <v>175</v>
      </c>
      <c r="B138" s="58">
        <v>2.17</v>
      </c>
    </row>
    <row r="139" spans="1:2" ht="14.4" thickBot="1" x14ac:dyDescent="0.3">
      <c r="A139" s="59" t="s">
        <v>174</v>
      </c>
      <c r="B139" s="58">
        <v>2.25</v>
      </c>
    </row>
    <row r="140" spans="1:2" ht="14.4" thickBot="1" x14ac:dyDescent="0.3">
      <c r="A140" s="59" t="s">
        <v>173</v>
      </c>
      <c r="B140" s="60">
        <v>1.78</v>
      </c>
    </row>
    <row r="141" spans="1:2" ht="14.4" thickBot="1" x14ac:dyDescent="0.3">
      <c r="A141" s="59" t="s">
        <v>172</v>
      </c>
      <c r="B141" s="58">
        <v>1.86</v>
      </c>
    </row>
    <row r="142" spans="1:2" ht="14.4" thickBot="1" x14ac:dyDescent="0.3">
      <c r="A142" s="59" t="s">
        <v>171</v>
      </c>
      <c r="B142" s="58">
        <v>1.94</v>
      </c>
    </row>
    <row r="143" spans="1:2" ht="14.4" thickBot="1" x14ac:dyDescent="0.3">
      <c r="A143" s="59" t="s">
        <v>170</v>
      </c>
      <c r="B143" s="58">
        <v>2.02</v>
      </c>
    </row>
    <row r="144" spans="1:2" ht="14.4" thickBot="1" x14ac:dyDescent="0.3">
      <c r="A144" s="59" t="s">
        <v>169</v>
      </c>
      <c r="B144" s="58">
        <v>2.1</v>
      </c>
    </row>
    <row r="145" spans="1:2" ht="14.4" thickBot="1" x14ac:dyDescent="0.3">
      <c r="A145" s="59" t="s">
        <v>168</v>
      </c>
      <c r="B145" s="58">
        <v>2.1800000000000002</v>
      </c>
    </row>
    <row r="146" spans="1:2" ht="14.4" thickBot="1" x14ac:dyDescent="0.3">
      <c r="A146" s="59" t="s">
        <v>167</v>
      </c>
      <c r="B146" s="58">
        <v>2.2599999999999998</v>
      </c>
    </row>
    <row r="147" spans="1:2" ht="14.4" thickBot="1" x14ac:dyDescent="0.3">
      <c r="A147" s="59" t="s">
        <v>166</v>
      </c>
      <c r="B147" s="58">
        <v>2.33</v>
      </c>
    </row>
    <row r="148" spans="1:2" ht="14.4" thickBot="1" x14ac:dyDescent="0.3">
      <c r="A148" s="59" t="s">
        <v>165</v>
      </c>
      <c r="B148" s="58">
        <v>2.41</v>
      </c>
    </row>
    <row r="149" spans="1:2" ht="14.4" thickBot="1" x14ac:dyDescent="0.3">
      <c r="A149" s="59" t="s">
        <v>164</v>
      </c>
      <c r="B149" s="60">
        <v>1.94</v>
      </c>
    </row>
    <row r="150" spans="1:2" ht="14.4" thickBot="1" x14ac:dyDescent="0.3">
      <c r="A150" s="59" t="s">
        <v>163</v>
      </c>
      <c r="B150" s="58">
        <v>2.02</v>
      </c>
    </row>
    <row r="151" spans="1:2" ht="14.4" thickBot="1" x14ac:dyDescent="0.3">
      <c r="A151" s="59" t="s">
        <v>162</v>
      </c>
      <c r="B151" s="58">
        <v>2.1</v>
      </c>
    </row>
    <row r="152" spans="1:2" ht="14.4" thickBot="1" x14ac:dyDescent="0.3">
      <c r="A152" s="59" t="s">
        <v>161</v>
      </c>
      <c r="B152" s="58">
        <v>2.1800000000000002</v>
      </c>
    </row>
    <row r="153" spans="1:2" ht="14.4" thickBot="1" x14ac:dyDescent="0.3">
      <c r="A153" s="59" t="s">
        <v>160</v>
      </c>
      <c r="B153" s="58">
        <v>2.2599999999999998</v>
      </c>
    </row>
    <row r="154" spans="1:2" ht="14.4" thickBot="1" x14ac:dyDescent="0.3">
      <c r="A154" s="59" t="s">
        <v>159</v>
      </c>
      <c r="B154" s="58">
        <v>2.34</v>
      </c>
    </row>
    <row r="155" spans="1:2" ht="14.4" thickBot="1" x14ac:dyDescent="0.3">
      <c r="A155" s="59" t="s">
        <v>158</v>
      </c>
      <c r="B155" s="58">
        <v>2.42</v>
      </c>
    </row>
    <row r="156" spans="1:2" ht="14.4" thickBot="1" x14ac:dyDescent="0.3">
      <c r="A156" s="59" t="s">
        <v>157</v>
      </c>
      <c r="B156" s="58">
        <v>2.4900000000000002</v>
      </c>
    </row>
    <row r="157" spans="1:2" ht="14.4" thickBot="1" x14ac:dyDescent="0.3">
      <c r="A157" s="59" t="s">
        <v>156</v>
      </c>
      <c r="B157" s="58">
        <v>2.57</v>
      </c>
    </row>
    <row r="158" spans="1:2" ht="14.4" thickBot="1" x14ac:dyDescent="0.3">
      <c r="A158" s="59" t="s">
        <v>155</v>
      </c>
      <c r="B158" s="60">
        <v>2.1</v>
      </c>
    </row>
    <row r="159" spans="1:2" ht="14.4" thickBot="1" x14ac:dyDescent="0.3">
      <c r="A159" s="59" t="s">
        <v>154</v>
      </c>
      <c r="B159" s="58">
        <v>2.1800000000000002</v>
      </c>
    </row>
    <row r="160" spans="1:2" ht="14.4" thickBot="1" x14ac:dyDescent="0.3">
      <c r="A160" s="59" t="s">
        <v>153</v>
      </c>
      <c r="B160" s="58">
        <v>2.2599999999999998</v>
      </c>
    </row>
    <row r="161" spans="1:2" ht="14.4" thickBot="1" x14ac:dyDescent="0.3">
      <c r="A161" s="59" t="s">
        <v>152</v>
      </c>
      <c r="B161" s="58">
        <v>2.34</v>
      </c>
    </row>
    <row r="162" spans="1:2" ht="14.4" thickBot="1" x14ac:dyDescent="0.3">
      <c r="A162" s="59" t="s">
        <v>151</v>
      </c>
      <c r="B162" s="58">
        <v>2.42</v>
      </c>
    </row>
    <row r="163" spans="1:2" ht="14.4" thickBot="1" x14ac:dyDescent="0.3">
      <c r="A163" s="59" t="s">
        <v>150</v>
      </c>
      <c r="B163" s="58">
        <v>2.5</v>
      </c>
    </row>
    <row r="164" spans="1:2" ht="14.4" thickBot="1" x14ac:dyDescent="0.3">
      <c r="A164" s="59" t="s">
        <v>149</v>
      </c>
      <c r="B164" s="58">
        <v>2.58</v>
      </c>
    </row>
    <row r="165" spans="1:2" ht="14.4" thickBot="1" x14ac:dyDescent="0.3">
      <c r="A165" s="59" t="s">
        <v>148</v>
      </c>
      <c r="B165" s="58">
        <v>2.65</v>
      </c>
    </row>
    <row r="166" spans="1:2" ht="14.4" thickBot="1" x14ac:dyDescent="0.3">
      <c r="A166" s="59" t="s">
        <v>147</v>
      </c>
      <c r="B166" s="58">
        <v>2.73</v>
      </c>
    </row>
    <row r="167" spans="1:2" ht="14.4" thickBot="1" x14ac:dyDescent="0.3">
      <c r="A167" s="59" t="s">
        <v>146</v>
      </c>
      <c r="B167" s="60">
        <v>2.2599999999999998</v>
      </c>
    </row>
    <row r="168" spans="1:2" ht="14.4" thickBot="1" x14ac:dyDescent="0.3">
      <c r="A168" s="59" t="s">
        <v>145</v>
      </c>
      <c r="B168" s="58">
        <v>2.34</v>
      </c>
    </row>
    <row r="169" spans="1:2" ht="14.4" thickBot="1" x14ac:dyDescent="0.3">
      <c r="A169" s="59" t="s">
        <v>144</v>
      </c>
      <c r="B169" s="58">
        <v>2.42</v>
      </c>
    </row>
    <row r="170" spans="1:2" ht="14.4" thickBot="1" x14ac:dyDescent="0.3">
      <c r="A170" s="59" t="s">
        <v>143</v>
      </c>
      <c r="B170" s="58">
        <v>2.5</v>
      </c>
    </row>
    <row r="171" spans="1:2" ht="14.4" thickBot="1" x14ac:dyDescent="0.3">
      <c r="A171" s="59" t="s">
        <v>142</v>
      </c>
      <c r="B171" s="58">
        <v>2.58</v>
      </c>
    </row>
    <row r="172" spans="1:2" ht="14.4" thickBot="1" x14ac:dyDescent="0.3">
      <c r="A172" s="59" t="s">
        <v>141</v>
      </c>
      <c r="B172" s="58">
        <v>2.65</v>
      </c>
    </row>
    <row r="173" spans="1:2" ht="14.4" thickBot="1" x14ac:dyDescent="0.3">
      <c r="A173" s="59" t="s">
        <v>140</v>
      </c>
      <c r="B173" s="58">
        <v>2.73</v>
      </c>
    </row>
    <row r="174" spans="1:2" ht="14.4" thickBot="1" x14ac:dyDescent="0.3">
      <c r="A174" s="59" t="s">
        <v>139</v>
      </c>
      <c r="B174" s="58">
        <v>2.81</v>
      </c>
    </row>
    <row r="175" spans="1:2" ht="14.4" thickBot="1" x14ac:dyDescent="0.3">
      <c r="A175" s="59" t="s">
        <v>138</v>
      </c>
      <c r="B175" s="58">
        <v>2.89</v>
      </c>
    </row>
    <row r="176" spans="1:2" ht="14.4" thickBot="1" x14ac:dyDescent="0.3">
      <c r="A176" s="59" t="s">
        <v>137</v>
      </c>
      <c r="B176" s="60">
        <v>2.42</v>
      </c>
    </row>
    <row r="177" spans="1:2" ht="14.4" thickBot="1" x14ac:dyDescent="0.3">
      <c r="A177" s="59" t="s">
        <v>136</v>
      </c>
      <c r="B177" s="58">
        <v>2.5</v>
      </c>
    </row>
    <row r="178" spans="1:2" ht="14.4" thickBot="1" x14ac:dyDescent="0.3">
      <c r="A178" s="59" t="s">
        <v>135</v>
      </c>
      <c r="B178" s="58">
        <v>2.58</v>
      </c>
    </row>
    <row r="179" spans="1:2" ht="14.4" thickBot="1" x14ac:dyDescent="0.3">
      <c r="A179" s="59" t="s">
        <v>134</v>
      </c>
      <c r="B179" s="58">
        <v>2.66</v>
      </c>
    </row>
    <row r="180" spans="1:2" ht="14.4" thickBot="1" x14ac:dyDescent="0.3">
      <c r="A180" s="59" t="s">
        <v>133</v>
      </c>
      <c r="B180" s="58">
        <v>2.74</v>
      </c>
    </row>
    <row r="181" spans="1:2" ht="14.4" thickBot="1" x14ac:dyDescent="0.3">
      <c r="A181" s="59" t="s">
        <v>132</v>
      </c>
      <c r="B181" s="58">
        <v>2.81</v>
      </c>
    </row>
    <row r="182" spans="1:2" ht="14.4" thickBot="1" x14ac:dyDescent="0.3">
      <c r="A182" s="59" t="s">
        <v>131</v>
      </c>
      <c r="B182" s="58">
        <v>2.89</v>
      </c>
    </row>
    <row r="183" spans="1:2" ht="14.4" thickBot="1" x14ac:dyDescent="0.3">
      <c r="A183" s="59" t="s">
        <v>130</v>
      </c>
      <c r="B183" s="58">
        <v>2.97</v>
      </c>
    </row>
    <row r="184" spans="1:2" ht="14.4" thickBot="1" x14ac:dyDescent="0.3">
      <c r="A184" s="59" t="s">
        <v>129</v>
      </c>
      <c r="B184" s="58">
        <v>3.05</v>
      </c>
    </row>
    <row r="185" spans="1:2" ht="14.4" thickBot="1" x14ac:dyDescent="0.3">
      <c r="A185" s="59" t="s">
        <v>128</v>
      </c>
      <c r="B185" s="60">
        <v>2.58</v>
      </c>
    </row>
    <row r="186" spans="1:2" ht="14.4" thickBot="1" x14ac:dyDescent="0.3">
      <c r="A186" s="59" t="s">
        <v>127</v>
      </c>
      <c r="B186" s="58">
        <v>2.66</v>
      </c>
    </row>
    <row r="187" spans="1:2" ht="14.4" thickBot="1" x14ac:dyDescent="0.3">
      <c r="A187" s="59" t="s">
        <v>126</v>
      </c>
      <c r="B187" s="58">
        <v>2.74</v>
      </c>
    </row>
    <row r="188" spans="1:2" ht="14.4" thickBot="1" x14ac:dyDescent="0.3">
      <c r="A188" s="59" t="s">
        <v>125</v>
      </c>
      <c r="B188" s="58">
        <v>2.82</v>
      </c>
    </row>
    <row r="189" spans="1:2" ht="14.4" thickBot="1" x14ac:dyDescent="0.3">
      <c r="A189" s="59" t="s">
        <v>124</v>
      </c>
      <c r="B189" s="58">
        <v>2.9</v>
      </c>
    </row>
    <row r="190" spans="1:2" ht="14.4" thickBot="1" x14ac:dyDescent="0.3">
      <c r="A190" s="59" t="s">
        <v>123</v>
      </c>
      <c r="B190" s="58">
        <v>2.98</v>
      </c>
    </row>
    <row r="191" spans="1:2" ht="14.4" thickBot="1" x14ac:dyDescent="0.3">
      <c r="A191" s="59" t="s">
        <v>122</v>
      </c>
      <c r="B191" s="58">
        <v>3.05</v>
      </c>
    </row>
    <row r="192" spans="1:2" ht="14.4" thickBot="1" x14ac:dyDescent="0.3">
      <c r="A192" s="59" t="s">
        <v>121</v>
      </c>
      <c r="B192" s="58">
        <v>3.13</v>
      </c>
    </row>
    <row r="193" spans="1:2" ht="14.4" thickBot="1" x14ac:dyDescent="0.3">
      <c r="A193" s="59" t="s">
        <v>120</v>
      </c>
      <c r="B193" s="58">
        <v>3.21</v>
      </c>
    </row>
    <row r="194" spans="1:2" ht="14.4" thickBot="1" x14ac:dyDescent="0.3">
      <c r="A194" s="59" t="s">
        <v>119</v>
      </c>
      <c r="B194" s="60">
        <v>2.74</v>
      </c>
    </row>
    <row r="195" spans="1:2" ht="14.4" thickBot="1" x14ac:dyDescent="0.3">
      <c r="A195" s="59" t="s">
        <v>118</v>
      </c>
      <c r="B195" s="58">
        <v>2.82</v>
      </c>
    </row>
    <row r="196" spans="1:2" ht="14.4" thickBot="1" x14ac:dyDescent="0.3">
      <c r="A196" s="59" t="s">
        <v>117</v>
      </c>
      <c r="B196" s="58">
        <v>2.9</v>
      </c>
    </row>
    <row r="197" spans="1:2" ht="14.4" thickBot="1" x14ac:dyDescent="0.3">
      <c r="A197" s="59" t="s">
        <v>116</v>
      </c>
      <c r="B197" s="58">
        <v>2.98</v>
      </c>
    </row>
    <row r="198" spans="1:2" ht="14.4" thickBot="1" x14ac:dyDescent="0.3">
      <c r="A198" s="59" t="s">
        <v>115</v>
      </c>
      <c r="B198" s="58">
        <v>3.06</v>
      </c>
    </row>
    <row r="199" spans="1:2" ht="14.4" thickBot="1" x14ac:dyDescent="0.3">
      <c r="A199" s="59" t="s">
        <v>114</v>
      </c>
      <c r="B199" s="58">
        <v>3.14</v>
      </c>
    </row>
    <row r="200" spans="1:2" ht="14.4" thickBot="1" x14ac:dyDescent="0.3">
      <c r="A200" s="59" t="s">
        <v>113</v>
      </c>
      <c r="B200" s="58">
        <v>3.21</v>
      </c>
    </row>
    <row r="201" spans="1:2" ht="14.4" thickBot="1" x14ac:dyDescent="0.3">
      <c r="A201" s="59" t="s">
        <v>112</v>
      </c>
      <c r="B201" s="58">
        <v>3.29</v>
      </c>
    </row>
    <row r="202" spans="1:2" ht="14.4" thickBot="1" x14ac:dyDescent="0.3">
      <c r="A202" s="59" t="s">
        <v>111</v>
      </c>
      <c r="B202" s="58">
        <v>3.37</v>
      </c>
    </row>
    <row r="203" spans="1:2" ht="14.4" thickBot="1" x14ac:dyDescent="0.3">
      <c r="A203" s="59" t="s">
        <v>110</v>
      </c>
      <c r="B203" s="60">
        <v>2.9</v>
      </c>
    </row>
    <row r="204" spans="1:2" ht="14.4" thickBot="1" x14ac:dyDescent="0.3">
      <c r="A204" s="59" t="s">
        <v>109</v>
      </c>
      <c r="B204" s="58">
        <v>2.98</v>
      </c>
    </row>
    <row r="205" spans="1:2" ht="14.4" thickBot="1" x14ac:dyDescent="0.3">
      <c r="A205" s="59" t="s">
        <v>108</v>
      </c>
      <c r="B205" s="58">
        <v>3.06</v>
      </c>
    </row>
    <row r="206" spans="1:2" ht="14.4" thickBot="1" x14ac:dyDescent="0.3">
      <c r="A206" s="59" t="s">
        <v>107</v>
      </c>
      <c r="B206" s="58">
        <v>3.14</v>
      </c>
    </row>
    <row r="207" spans="1:2" ht="14.4" thickBot="1" x14ac:dyDescent="0.3">
      <c r="A207" s="59" t="s">
        <v>106</v>
      </c>
      <c r="B207" s="58">
        <v>3.22</v>
      </c>
    </row>
    <row r="208" spans="1:2" ht="14.4" thickBot="1" x14ac:dyDescent="0.3">
      <c r="A208" s="59" t="s">
        <v>105</v>
      </c>
      <c r="B208" s="58">
        <v>3.3</v>
      </c>
    </row>
    <row r="209" spans="1:2" ht="14.4" thickBot="1" x14ac:dyDescent="0.3">
      <c r="A209" s="59" t="s">
        <v>104</v>
      </c>
      <c r="B209" s="58">
        <v>3.37</v>
      </c>
    </row>
    <row r="210" spans="1:2" ht="14.4" thickBot="1" x14ac:dyDescent="0.3">
      <c r="A210" s="59" t="s">
        <v>103</v>
      </c>
      <c r="B210" s="58">
        <v>3.45</v>
      </c>
    </row>
    <row r="211" spans="1:2" ht="14.4" thickBot="1" x14ac:dyDescent="0.3">
      <c r="A211" s="59" t="s">
        <v>102</v>
      </c>
      <c r="B211" s="58">
        <v>3.53</v>
      </c>
    </row>
    <row r="212" spans="1:2" ht="14.4" thickBot="1" x14ac:dyDescent="0.3">
      <c r="A212" s="59" t="s">
        <v>101</v>
      </c>
      <c r="B212" s="60">
        <v>2.9</v>
      </c>
    </row>
    <row r="213" spans="1:2" ht="14.4" thickBot="1" x14ac:dyDescent="0.3">
      <c r="A213" s="59" t="s">
        <v>100</v>
      </c>
      <c r="B213" s="58">
        <v>2.98</v>
      </c>
    </row>
    <row r="214" spans="1:2" ht="14.4" thickBot="1" x14ac:dyDescent="0.3">
      <c r="A214" s="59" t="s">
        <v>99</v>
      </c>
      <c r="B214" s="58">
        <v>3.06</v>
      </c>
    </row>
    <row r="215" spans="1:2" ht="14.4" thickBot="1" x14ac:dyDescent="0.3">
      <c r="A215" s="59" t="s">
        <v>98</v>
      </c>
      <c r="B215" s="58">
        <v>3.14</v>
      </c>
    </row>
    <row r="216" spans="1:2" ht="14.4" thickBot="1" x14ac:dyDescent="0.3">
      <c r="A216" s="59" t="s">
        <v>97</v>
      </c>
      <c r="B216" s="58">
        <v>3.22</v>
      </c>
    </row>
    <row r="217" spans="1:2" ht="14.4" thickBot="1" x14ac:dyDescent="0.3">
      <c r="A217" s="59" t="s">
        <v>96</v>
      </c>
      <c r="B217" s="58">
        <v>3.3</v>
      </c>
    </row>
    <row r="218" spans="1:2" ht="14.4" thickBot="1" x14ac:dyDescent="0.3">
      <c r="A218" s="59" t="s">
        <v>95</v>
      </c>
      <c r="B218" s="58">
        <v>3.37</v>
      </c>
    </row>
    <row r="219" spans="1:2" ht="14.4" thickBot="1" x14ac:dyDescent="0.3">
      <c r="A219" s="59" t="s">
        <v>94</v>
      </c>
      <c r="B219" s="58">
        <v>3.45</v>
      </c>
    </row>
    <row r="220" spans="1:2" ht="14.4" thickBot="1" x14ac:dyDescent="0.3">
      <c r="A220" s="59" t="s">
        <v>93</v>
      </c>
      <c r="B220" s="58">
        <v>3.53</v>
      </c>
    </row>
    <row r="221" spans="1:2" ht="14.4" thickBot="1" x14ac:dyDescent="0.3">
      <c r="A221" s="59" t="s">
        <v>92</v>
      </c>
      <c r="B221" s="60">
        <v>3.22</v>
      </c>
    </row>
    <row r="222" spans="1:2" ht="14.4" thickBot="1" x14ac:dyDescent="0.3">
      <c r="A222" s="59" t="s">
        <v>91</v>
      </c>
      <c r="B222" s="58">
        <v>3.3</v>
      </c>
    </row>
    <row r="223" spans="1:2" ht="14.4" thickBot="1" x14ac:dyDescent="0.3">
      <c r="A223" s="59" t="s">
        <v>90</v>
      </c>
      <c r="B223" s="58">
        <v>3.38</v>
      </c>
    </row>
    <row r="224" spans="1:2" ht="14.4" thickBot="1" x14ac:dyDescent="0.3">
      <c r="A224" s="59" t="s">
        <v>89</v>
      </c>
      <c r="B224" s="58">
        <v>3.46</v>
      </c>
    </row>
    <row r="225" spans="1:2" ht="14.4" thickBot="1" x14ac:dyDescent="0.3">
      <c r="A225" s="59" t="s">
        <v>88</v>
      </c>
      <c r="B225" s="58">
        <v>3.53</v>
      </c>
    </row>
    <row r="226" spans="1:2" ht="14.4" thickBot="1" x14ac:dyDescent="0.3">
      <c r="A226" s="59" t="s">
        <v>87</v>
      </c>
      <c r="B226" s="58">
        <v>3.61</v>
      </c>
    </row>
    <row r="227" spans="1:2" ht="14.4" thickBot="1" x14ac:dyDescent="0.3">
      <c r="A227" s="59" t="s">
        <v>86</v>
      </c>
      <c r="B227" s="58">
        <v>3.69</v>
      </c>
    </row>
    <row r="228" spans="1:2" ht="14.4" thickBot="1" x14ac:dyDescent="0.3">
      <c r="A228" s="59" t="s">
        <v>85</v>
      </c>
      <c r="B228" s="58">
        <v>3.77</v>
      </c>
    </row>
    <row r="229" spans="1:2" ht="14.4" thickBot="1" x14ac:dyDescent="0.3">
      <c r="A229" s="59" t="s">
        <v>84</v>
      </c>
      <c r="B229" s="58">
        <v>3.85</v>
      </c>
    </row>
    <row r="230" spans="1:2" ht="14.4" thickBot="1" x14ac:dyDescent="0.3">
      <c r="A230" s="59" t="s">
        <v>83</v>
      </c>
      <c r="B230" s="60">
        <v>3.38</v>
      </c>
    </row>
    <row r="231" spans="1:2" ht="14.4" thickBot="1" x14ac:dyDescent="0.3">
      <c r="A231" s="59" t="s">
        <v>82</v>
      </c>
      <c r="B231" s="58">
        <v>3.46</v>
      </c>
    </row>
    <row r="232" spans="1:2" ht="14.4" thickBot="1" x14ac:dyDescent="0.3">
      <c r="A232" s="59" t="s">
        <v>81</v>
      </c>
      <c r="B232" s="58">
        <v>3.54</v>
      </c>
    </row>
    <row r="233" spans="1:2" ht="14.4" thickBot="1" x14ac:dyDescent="0.3">
      <c r="A233" s="59" t="s">
        <v>80</v>
      </c>
      <c r="B233" s="58">
        <v>3.62</v>
      </c>
    </row>
    <row r="234" spans="1:2" ht="14.4" thickBot="1" x14ac:dyDescent="0.3">
      <c r="A234" s="59" t="s">
        <v>79</v>
      </c>
      <c r="B234" s="58">
        <v>3.69</v>
      </c>
    </row>
    <row r="235" spans="1:2" ht="14.4" thickBot="1" x14ac:dyDescent="0.3">
      <c r="A235" s="59" t="s">
        <v>78</v>
      </c>
      <c r="B235" s="58">
        <v>3.77</v>
      </c>
    </row>
    <row r="236" spans="1:2" ht="14.4" thickBot="1" x14ac:dyDescent="0.3">
      <c r="A236" s="59" t="s">
        <v>77</v>
      </c>
      <c r="B236" s="58">
        <v>3.85</v>
      </c>
    </row>
    <row r="237" spans="1:2" ht="14.4" thickBot="1" x14ac:dyDescent="0.3">
      <c r="A237" s="59" t="s">
        <v>76</v>
      </c>
      <c r="B237" s="58">
        <v>3.93</v>
      </c>
    </row>
    <row r="238" spans="1:2" ht="14.4" thickBot="1" x14ac:dyDescent="0.3">
      <c r="A238" s="59" t="s">
        <v>75</v>
      </c>
      <c r="B238" s="58">
        <v>4.01</v>
      </c>
    </row>
    <row r="239" spans="1:2" ht="14.4" thickBot="1" x14ac:dyDescent="0.3">
      <c r="A239" s="59" t="s">
        <v>74</v>
      </c>
      <c r="B239" s="60">
        <v>3.54</v>
      </c>
    </row>
    <row r="240" spans="1:2" ht="14.4" thickBot="1" x14ac:dyDescent="0.3">
      <c r="A240" s="59" t="s">
        <v>73</v>
      </c>
      <c r="B240" s="58">
        <v>3.62</v>
      </c>
    </row>
    <row r="241" spans="1:2" ht="14.4" thickBot="1" x14ac:dyDescent="0.3">
      <c r="A241" s="59" t="s">
        <v>72</v>
      </c>
      <c r="B241" s="58">
        <v>3.7</v>
      </c>
    </row>
    <row r="242" spans="1:2" ht="14.4" thickBot="1" x14ac:dyDescent="0.3">
      <c r="A242" s="59" t="s">
        <v>71</v>
      </c>
      <c r="B242" s="58">
        <v>3.78</v>
      </c>
    </row>
    <row r="243" spans="1:2" ht="14.4" thickBot="1" x14ac:dyDescent="0.3">
      <c r="A243" s="59" t="s">
        <v>70</v>
      </c>
      <c r="B243" s="58">
        <v>3.85</v>
      </c>
    </row>
    <row r="244" spans="1:2" ht="14.4" thickBot="1" x14ac:dyDescent="0.3">
      <c r="A244" s="59" t="s">
        <v>69</v>
      </c>
      <c r="B244" s="58">
        <v>3.93</v>
      </c>
    </row>
    <row r="245" spans="1:2" ht="14.4" thickBot="1" x14ac:dyDescent="0.3">
      <c r="A245" s="59" t="s">
        <v>68</v>
      </c>
      <c r="B245" s="58">
        <v>4.01</v>
      </c>
    </row>
    <row r="246" spans="1:2" ht="14.4" thickBot="1" x14ac:dyDescent="0.3">
      <c r="A246" s="59" t="s">
        <v>67</v>
      </c>
      <c r="B246" s="58">
        <v>4.09</v>
      </c>
    </row>
    <row r="247" spans="1:2" ht="14.4" thickBot="1" x14ac:dyDescent="0.3">
      <c r="A247" s="59" t="s">
        <v>66</v>
      </c>
      <c r="B247" s="58">
        <v>4.17</v>
      </c>
    </row>
  </sheetData>
  <mergeCells count="1">
    <mergeCell ref="A1:B3"/>
  </mergeCells>
  <pageMargins left="0.511811024" right="0.511811024" top="0.78740157499999996" bottom="0.78740157499999996" header="0.31496062000000002" footer="0.31496062000000002"/>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56"/>
  <sheetViews>
    <sheetView zoomScale="85" zoomScaleNormal="85" workbookViewId="0">
      <selection activeCell="C5" sqref="C5"/>
    </sheetView>
  </sheetViews>
  <sheetFormatPr defaultRowHeight="14.4" x14ac:dyDescent="0.3"/>
  <cols>
    <col min="1" max="1" width="6" style="476" bestFit="1" customWidth="1"/>
    <col min="2" max="2" width="63.21875" style="476" bestFit="1" customWidth="1"/>
    <col min="3" max="3" width="18.88671875" style="476" bestFit="1" customWidth="1"/>
    <col min="4" max="4" width="6" style="476" bestFit="1" customWidth="1"/>
    <col min="5" max="5" width="17.44140625" style="475" bestFit="1" customWidth="1"/>
    <col min="6" max="6" width="19.33203125" style="475" bestFit="1" customWidth="1"/>
    <col min="7" max="10" width="8.88671875" style="476"/>
    <col min="11" max="11" width="57.88671875" style="476" bestFit="1" customWidth="1"/>
    <col min="12" max="12" width="11.88671875" style="476" bestFit="1" customWidth="1"/>
    <col min="13" max="13" width="63.21875" style="476" bestFit="1" customWidth="1"/>
    <col min="14" max="14" width="11.88671875" style="476" bestFit="1" customWidth="1"/>
    <col min="15" max="15" width="52.77734375" style="476" bestFit="1" customWidth="1"/>
    <col min="16" max="16" width="14.6640625" style="476" bestFit="1" customWidth="1"/>
    <col min="17" max="20" width="8.88671875" style="476"/>
    <col min="21" max="21" width="40.88671875" style="476" bestFit="1" customWidth="1"/>
    <col min="22" max="22" width="16.33203125" style="476" bestFit="1" customWidth="1"/>
    <col min="23" max="24" width="12.44140625" style="476" bestFit="1" customWidth="1"/>
    <col min="25" max="16384" width="8.88671875" style="476"/>
  </cols>
  <sheetData>
    <row r="1" spans="1:24" ht="18" x14ac:dyDescent="0.35">
      <c r="A1" s="477" t="s">
        <v>513</v>
      </c>
      <c r="B1" s="477" t="s">
        <v>515</v>
      </c>
      <c r="C1" s="478" t="s">
        <v>746</v>
      </c>
      <c r="D1" s="478" t="s">
        <v>747</v>
      </c>
      <c r="E1" s="547" t="s">
        <v>602</v>
      </c>
      <c r="F1" s="478" t="s">
        <v>835</v>
      </c>
      <c r="K1" s="477" t="s">
        <v>827</v>
      </c>
      <c r="L1" s="477" t="s">
        <v>0</v>
      </c>
      <c r="M1" s="477" t="s">
        <v>824</v>
      </c>
      <c r="N1" s="477" t="s">
        <v>0</v>
      </c>
      <c r="O1" s="477" t="s">
        <v>823</v>
      </c>
      <c r="P1" s="477" t="s">
        <v>0</v>
      </c>
      <c r="T1" s="477" t="s">
        <v>0</v>
      </c>
      <c r="U1" s="477" t="s">
        <v>49</v>
      </c>
      <c r="V1" s="477" t="s">
        <v>4</v>
      </c>
      <c r="W1" s="477" t="s">
        <v>747</v>
      </c>
      <c r="X1" s="477" t="s">
        <v>843</v>
      </c>
    </row>
    <row r="2" spans="1:24" ht="18" x14ac:dyDescent="0.35">
      <c r="A2" s="479">
        <v>20</v>
      </c>
      <c r="B2" s="479" t="s">
        <v>748</v>
      </c>
      <c r="C2" s="480">
        <v>7800</v>
      </c>
      <c r="D2" s="476" t="s">
        <v>749</v>
      </c>
      <c r="K2" s="479" t="s">
        <v>751</v>
      </c>
      <c r="L2" s="479">
        <v>40</v>
      </c>
      <c r="M2" s="479" t="s">
        <v>752</v>
      </c>
      <c r="N2" s="479">
        <v>50</v>
      </c>
      <c r="O2" s="479" t="s">
        <v>753</v>
      </c>
      <c r="P2" s="479">
        <v>60</v>
      </c>
      <c r="T2" s="523">
        <v>290</v>
      </c>
      <c r="U2" s="524" t="s">
        <v>775</v>
      </c>
      <c r="V2" s="527" t="e">
        <f>SUMIF(#REF!,'base dados'!T2,#REF!)+SUMIF(#REF!,'base dados'!T2,#REF!)+SUMIF(#REF!,'base dados'!T2,#REF!)+SUMIF(#REF!,'base dados'!T2,#REF!)+SUMIF(#REF!,'base dados'!T2,#REF!)+SUMIF(#REF!,'base dados'!T2,#REF!)</f>
        <v>#REF!</v>
      </c>
      <c r="W2" s="525">
        <v>235</v>
      </c>
      <c r="X2" s="490" t="e">
        <f t="shared" ref="X2:X15" si="0">W2*V2</f>
        <v>#REF!</v>
      </c>
    </row>
    <row r="3" spans="1:24" ht="18" x14ac:dyDescent="0.35">
      <c r="A3" s="479">
        <f>A2+10</f>
        <v>30</v>
      </c>
      <c r="B3" s="479" t="s">
        <v>750</v>
      </c>
      <c r="C3" s="480">
        <v>6800</v>
      </c>
      <c r="D3" s="476" t="s">
        <v>749</v>
      </c>
      <c r="K3" s="479" t="s">
        <v>754</v>
      </c>
      <c r="L3" s="479">
        <v>70</v>
      </c>
      <c r="M3" s="479" t="s">
        <v>755</v>
      </c>
      <c r="N3" s="479">
        <v>80</v>
      </c>
      <c r="O3" s="479" t="s">
        <v>756</v>
      </c>
      <c r="P3" s="479">
        <v>90</v>
      </c>
      <c r="T3" s="523">
        <v>300</v>
      </c>
      <c r="U3" s="524" t="s">
        <v>776</v>
      </c>
      <c r="V3" s="527" t="e">
        <f>SUMIF(#REF!,'base dados'!T3,#REF!)+SUMIF(#REF!,'base dados'!T3,#REF!)+SUMIF(#REF!,'base dados'!T3,#REF!)+SUMIF(#REF!,'base dados'!T3,#REF!)+SUMIF(#REF!,'base dados'!T3,#REF!)+SUMIF(#REF!,'base dados'!T3,#REF!)</f>
        <v>#REF!</v>
      </c>
      <c r="W3" s="525">
        <v>197</v>
      </c>
      <c r="X3" s="490" t="e">
        <f t="shared" si="0"/>
        <v>#REF!</v>
      </c>
    </row>
    <row r="4" spans="1:24" ht="18" x14ac:dyDescent="0.35">
      <c r="A4" s="479">
        <f t="shared" ref="A4:A49" si="1">A3+10</f>
        <v>40</v>
      </c>
      <c r="B4" s="479" t="s">
        <v>751</v>
      </c>
      <c r="C4" s="480">
        <v>1300</v>
      </c>
      <c r="D4" s="476" t="s">
        <v>731</v>
      </c>
      <c r="E4" s="548" t="s">
        <v>795</v>
      </c>
      <c r="K4" s="479"/>
      <c r="L4" s="479"/>
      <c r="M4" s="479" t="s">
        <v>759</v>
      </c>
      <c r="N4" s="479">
        <v>120</v>
      </c>
      <c r="O4" s="479" t="s">
        <v>758</v>
      </c>
      <c r="P4" s="479">
        <v>110</v>
      </c>
      <c r="T4" s="523">
        <v>310</v>
      </c>
      <c r="U4" s="524" t="s">
        <v>777</v>
      </c>
      <c r="V4" s="527" t="e">
        <f>SUMIF(#REF!,'base dados'!T4,#REF!)+SUMIF(#REF!,'base dados'!T4,#REF!)+SUMIF(#REF!,'base dados'!T4,#REF!)+SUMIF(#REF!,'base dados'!T4,#REF!)+SUMIF(#REF!,'base dados'!T4,#REF!)+SUMIF(#REF!,'base dados'!T4,#REF!)</f>
        <v>#REF!</v>
      </c>
      <c r="W4" s="525">
        <v>155</v>
      </c>
      <c r="X4" s="490" t="e">
        <f t="shared" si="0"/>
        <v>#REF!</v>
      </c>
    </row>
    <row r="5" spans="1:24" ht="18" x14ac:dyDescent="0.35">
      <c r="A5" s="479">
        <f t="shared" si="1"/>
        <v>50</v>
      </c>
      <c r="B5" s="479" t="s">
        <v>752</v>
      </c>
      <c r="C5" s="480">
        <f>11498*0.6</f>
        <v>6898.8</v>
      </c>
      <c r="D5" s="476" t="s">
        <v>731</v>
      </c>
      <c r="E5" s="548" t="s">
        <v>795</v>
      </c>
      <c r="K5" s="479"/>
      <c r="L5" s="479"/>
      <c r="M5" s="479" t="s">
        <v>758</v>
      </c>
      <c r="N5" s="479">
        <v>100</v>
      </c>
      <c r="O5" s="479" t="s">
        <v>790</v>
      </c>
      <c r="P5" s="479">
        <v>440</v>
      </c>
      <c r="T5" s="523">
        <v>320</v>
      </c>
      <c r="U5" s="524" t="s">
        <v>778</v>
      </c>
      <c r="V5" s="527" t="e">
        <f>SUMIF(#REF!,'base dados'!T5,#REF!)+SUMIF(#REF!,'base dados'!T5,#REF!)+SUMIF(#REF!,'base dados'!T5,#REF!)+SUMIF(#REF!,'base dados'!T5,#REF!)+SUMIF(#REF!,'base dados'!T5,#REF!)+SUMIF(#REF!,'base dados'!T5,#REF!)</f>
        <v>#REF!</v>
      </c>
      <c r="W5" s="525">
        <v>149</v>
      </c>
      <c r="X5" s="490" t="e">
        <f t="shared" si="0"/>
        <v>#REF!</v>
      </c>
    </row>
    <row r="6" spans="1:24" ht="18" x14ac:dyDescent="0.35">
      <c r="A6" s="479">
        <f t="shared" si="1"/>
        <v>60</v>
      </c>
      <c r="B6" s="479" t="s">
        <v>753</v>
      </c>
      <c r="C6" s="480">
        <f>10800</f>
        <v>10800</v>
      </c>
      <c r="D6" s="476" t="s">
        <v>731</v>
      </c>
      <c r="E6" s="548" t="s">
        <v>795</v>
      </c>
      <c r="K6" s="479"/>
      <c r="L6" s="479"/>
      <c r="M6" s="479" t="s">
        <v>865</v>
      </c>
      <c r="N6" s="479">
        <v>130</v>
      </c>
      <c r="T6" s="523">
        <v>330</v>
      </c>
      <c r="U6" s="524" t="s">
        <v>779</v>
      </c>
      <c r="V6" s="527" t="e">
        <f>SUMIF(#REF!,'base dados'!T6,#REF!)+SUMIF(#REF!,'base dados'!T6,#REF!)+SUMIF(#REF!,'base dados'!T6,#REF!)+SUMIF(#REF!,'base dados'!T6,#REF!)+SUMIF(#REF!,'base dados'!T6,#REF!)+SUMIF(#REF!,'base dados'!T6,#REF!)</f>
        <v>#REF!</v>
      </c>
      <c r="W6" s="525">
        <v>140</v>
      </c>
      <c r="X6" s="490" t="e">
        <f t="shared" si="0"/>
        <v>#REF!</v>
      </c>
    </row>
    <row r="7" spans="1:24" ht="18" x14ac:dyDescent="0.35">
      <c r="A7" s="479">
        <f t="shared" si="1"/>
        <v>70</v>
      </c>
      <c r="B7" s="479" t="s">
        <v>754</v>
      </c>
      <c r="C7" s="480">
        <v>1500</v>
      </c>
      <c r="D7" s="476" t="s">
        <v>731</v>
      </c>
      <c r="E7" s="548" t="s">
        <v>794</v>
      </c>
      <c r="K7" s="479"/>
      <c r="L7" s="479"/>
      <c r="M7" s="479" t="s">
        <v>930</v>
      </c>
      <c r="N7" s="479">
        <v>140</v>
      </c>
      <c r="T7" s="523">
        <v>340</v>
      </c>
      <c r="U7" s="524" t="s">
        <v>780</v>
      </c>
      <c r="V7" s="527" t="e">
        <f>SUMIF(#REF!,'base dados'!T7,#REF!)+SUMIF(#REF!,'base dados'!T7,#REF!)+SUMIF(#REF!,'base dados'!T7,#REF!)+SUMIF(#REF!,'base dados'!T7,#REF!)+SUMIF(#REF!,'base dados'!T7,#REF!)+SUMIF(#REF!,'base dados'!T7,#REF!)</f>
        <v>#REF!</v>
      </c>
      <c r="W7" s="464">
        <v>142</v>
      </c>
      <c r="X7" s="490" t="e">
        <f t="shared" si="0"/>
        <v>#REF!</v>
      </c>
    </row>
    <row r="8" spans="1:24" ht="18" x14ac:dyDescent="0.35">
      <c r="A8" s="479">
        <f t="shared" si="1"/>
        <v>80</v>
      </c>
      <c r="B8" s="479" t="s">
        <v>755</v>
      </c>
      <c r="C8" s="480">
        <v>22936.240000000002</v>
      </c>
      <c r="D8" s="476" t="s">
        <v>731</v>
      </c>
      <c r="E8" s="548" t="s">
        <v>794</v>
      </c>
      <c r="K8" s="479"/>
      <c r="L8" s="479"/>
      <c r="M8" s="479"/>
      <c r="N8" s="479"/>
      <c r="T8" s="523">
        <v>350</v>
      </c>
      <c r="U8" s="524" t="s">
        <v>781</v>
      </c>
      <c r="V8" s="527" t="e">
        <f>SUMIF(#REF!,'base dados'!T8,#REF!)+SUMIF(#REF!,'base dados'!T8,#REF!)+SUMIF(#REF!,'base dados'!T8,#REF!)+SUMIF(#REF!,'base dados'!T8,#REF!)+SUMIF(#REF!,'base dados'!T8,#REF!)+SUMIF(#REF!,'base dados'!T8,#REF!)</f>
        <v>#REF!</v>
      </c>
      <c r="W8" s="464">
        <v>116.76</v>
      </c>
      <c r="X8" s="490" t="e">
        <f t="shared" si="0"/>
        <v>#REF!</v>
      </c>
    </row>
    <row r="9" spans="1:24" ht="18" x14ac:dyDescent="0.35">
      <c r="A9" s="479">
        <f t="shared" si="1"/>
        <v>90</v>
      </c>
      <c r="B9" s="479" t="s">
        <v>756</v>
      </c>
      <c r="C9" s="480">
        <v>21495.29</v>
      </c>
      <c r="D9" s="476" t="s">
        <v>731</v>
      </c>
      <c r="E9" s="548" t="s">
        <v>794</v>
      </c>
      <c r="K9" s="479"/>
      <c r="L9" s="479"/>
      <c r="M9" s="479"/>
      <c r="N9" s="479"/>
      <c r="O9" s="479"/>
      <c r="T9" s="523">
        <v>360</v>
      </c>
      <c r="U9" s="524" t="s">
        <v>782</v>
      </c>
      <c r="V9" s="527" t="e">
        <f>SUMIF(#REF!,'base dados'!T9,#REF!)+SUMIF(#REF!,'base dados'!T9,#REF!)+SUMIF(#REF!,'base dados'!T9,#REF!)+SUMIF(#REF!,'base dados'!T9,#REF!)+SUMIF(#REF!,'base dados'!T9,#REF!)+SUMIF(#REF!,'base dados'!T9,#REF!)</f>
        <v>#REF!</v>
      </c>
      <c r="W9" s="464">
        <v>94.89</v>
      </c>
      <c r="X9" s="490" t="e">
        <f t="shared" si="0"/>
        <v>#REF!</v>
      </c>
    </row>
    <row r="10" spans="1:24" ht="18" x14ac:dyDescent="0.35">
      <c r="A10" s="479">
        <f t="shared" si="1"/>
        <v>100</v>
      </c>
      <c r="B10" s="479" t="s">
        <v>757</v>
      </c>
      <c r="C10" s="480">
        <v>14686.17</v>
      </c>
      <c r="D10" s="476" t="s">
        <v>731</v>
      </c>
      <c r="E10" s="548" t="s">
        <v>796</v>
      </c>
      <c r="K10" s="477" t="s">
        <v>825</v>
      </c>
      <c r="L10" s="477" t="s">
        <v>0</v>
      </c>
      <c r="M10" s="477" t="s">
        <v>826</v>
      </c>
      <c r="N10" s="477" t="s">
        <v>0</v>
      </c>
      <c r="O10" s="477" t="s">
        <v>823</v>
      </c>
      <c r="P10" s="477" t="s">
        <v>0</v>
      </c>
      <c r="T10" s="523">
        <v>370</v>
      </c>
      <c r="U10" s="524" t="s">
        <v>783</v>
      </c>
      <c r="V10" s="527" t="e">
        <f>SUMIF(#REF!,'base dados'!T10,#REF!)+SUMIF(#REF!,'base dados'!T10,#REF!)+SUMIF(#REF!,'base dados'!T10,#REF!)+SUMIF(#REF!,'base dados'!T10,#REF!)+SUMIF(#REF!,'base dados'!T10,#REF!)+SUMIF(#REF!,'base dados'!T10,#REF!)</f>
        <v>#REF!</v>
      </c>
      <c r="W10" s="464">
        <v>71.06</v>
      </c>
      <c r="X10" s="490" t="e">
        <f t="shared" si="0"/>
        <v>#REF!</v>
      </c>
    </row>
    <row r="11" spans="1:24" ht="18" x14ac:dyDescent="0.35">
      <c r="A11" s="479">
        <f t="shared" si="1"/>
        <v>110</v>
      </c>
      <c r="B11" s="479" t="s">
        <v>758</v>
      </c>
      <c r="C11" s="480">
        <f>12510.09*0.65</f>
        <v>8131.5585000000001</v>
      </c>
      <c r="D11" s="476" t="s">
        <v>731</v>
      </c>
      <c r="E11" s="548" t="s">
        <v>796</v>
      </c>
      <c r="K11" s="479" t="s">
        <v>836</v>
      </c>
      <c r="L11" s="479">
        <v>140</v>
      </c>
      <c r="M11" s="479" t="s">
        <v>760</v>
      </c>
      <c r="N11" s="479">
        <v>130</v>
      </c>
      <c r="O11" s="524" t="s">
        <v>748</v>
      </c>
      <c r="P11" s="476">
        <v>20</v>
      </c>
      <c r="T11" s="523">
        <v>380</v>
      </c>
      <c r="U11" s="524" t="s">
        <v>784</v>
      </c>
      <c r="V11" s="527" t="e">
        <f>SUMIF(#REF!,'base dados'!T11,#REF!)+SUMIF(#REF!,'base dados'!T11,#REF!)+SUMIF(#REF!,'base dados'!T11,#REF!)+SUMIF(#REF!,'base dados'!T11,#REF!)+SUMIF(#REF!,'base dados'!T11,#REF!)+SUMIF(#REF!,'base dados'!T11,#REF!)</f>
        <v>#REF!</v>
      </c>
      <c r="W11" s="464">
        <v>61.88</v>
      </c>
      <c r="X11" s="490" t="e">
        <f t="shared" si="0"/>
        <v>#REF!</v>
      </c>
    </row>
    <row r="12" spans="1:24" ht="18" x14ac:dyDescent="0.35">
      <c r="A12" s="479">
        <f t="shared" si="1"/>
        <v>120</v>
      </c>
      <c r="B12" s="479" t="s">
        <v>759</v>
      </c>
      <c r="C12" s="480">
        <v>11200</v>
      </c>
      <c r="D12" s="476" t="s">
        <v>731</v>
      </c>
      <c r="E12" s="548" t="s">
        <v>797</v>
      </c>
      <c r="K12" s="479" t="s">
        <v>766</v>
      </c>
      <c r="L12" s="479">
        <v>190</v>
      </c>
      <c r="M12" s="479" t="s">
        <v>762</v>
      </c>
      <c r="N12" s="479">
        <v>150</v>
      </c>
      <c r="O12" s="524" t="s">
        <v>750</v>
      </c>
      <c r="P12" s="476">
        <v>30</v>
      </c>
      <c r="T12" s="523">
        <v>390</v>
      </c>
      <c r="U12" s="524" t="s">
        <v>785</v>
      </c>
      <c r="V12" s="527" t="e">
        <f>SUMIF(#REF!,'base dados'!T12,#REF!)+SUMIF(#REF!,'base dados'!T12,#REF!)+SUMIF(#REF!,'base dados'!T12,#REF!)+SUMIF(#REF!,'base dados'!T12,#REF!)+SUMIF(#REF!,'base dados'!T12,#REF!)+SUMIF(#REF!,'base dados'!T12,#REF!)</f>
        <v>#REF!</v>
      </c>
      <c r="W12" s="464">
        <v>67.52</v>
      </c>
      <c r="X12" s="490" t="e">
        <f t="shared" si="0"/>
        <v>#REF!</v>
      </c>
    </row>
    <row r="13" spans="1:24" ht="18" x14ac:dyDescent="0.35">
      <c r="A13" s="479">
        <f t="shared" si="1"/>
        <v>130</v>
      </c>
      <c r="B13" s="479" t="s">
        <v>865</v>
      </c>
      <c r="C13" s="480">
        <v>6948.06</v>
      </c>
      <c r="D13" s="476" t="s">
        <v>731</v>
      </c>
      <c r="E13" s="566" t="s">
        <v>864</v>
      </c>
      <c r="K13" s="479" t="s">
        <v>837</v>
      </c>
      <c r="L13" s="479">
        <v>250</v>
      </c>
      <c r="M13" s="479" t="s">
        <v>763</v>
      </c>
      <c r="N13" s="479">
        <v>160</v>
      </c>
      <c r="T13" s="523">
        <v>400</v>
      </c>
      <c r="U13" s="524" t="s">
        <v>786</v>
      </c>
      <c r="V13" s="527" t="e">
        <f>SUMIF(#REF!,'base dados'!T13,#REF!)+SUMIF(#REF!,'base dados'!T13,#REF!)+SUMIF(#REF!,'base dados'!T13,#REF!)+SUMIF(#REF!,'base dados'!T13,#REF!)+SUMIF(#REF!,'base dados'!T13,#REF!)+SUMIF(#REF!,'base dados'!T13,#REF!)</f>
        <v>#REF!</v>
      </c>
      <c r="W13" s="464">
        <v>65.52</v>
      </c>
      <c r="X13" s="490" t="e">
        <f t="shared" si="0"/>
        <v>#REF!</v>
      </c>
    </row>
    <row r="14" spans="1:24" ht="18" x14ac:dyDescent="0.35">
      <c r="A14" s="479">
        <f t="shared" si="1"/>
        <v>140</v>
      </c>
      <c r="B14" s="479" t="s">
        <v>930</v>
      </c>
      <c r="C14" s="480">
        <v>8512.06</v>
      </c>
      <c r="D14" s="476" t="s">
        <v>731</v>
      </c>
      <c r="E14" s="566" t="s">
        <v>864</v>
      </c>
      <c r="K14" s="479"/>
      <c r="L14" s="479"/>
      <c r="M14" s="479"/>
      <c r="N14" s="479"/>
      <c r="T14" s="523"/>
      <c r="U14" s="524"/>
      <c r="V14" s="527"/>
      <c r="W14" s="464"/>
      <c r="X14" s="490"/>
    </row>
    <row r="15" spans="1:24" ht="18" x14ac:dyDescent="0.35">
      <c r="A15" s="479">
        <f t="shared" si="1"/>
        <v>150</v>
      </c>
      <c r="B15" s="520" t="s">
        <v>760</v>
      </c>
      <c r="C15" s="480">
        <v>114</v>
      </c>
      <c r="D15" s="517" t="s">
        <v>761</v>
      </c>
      <c r="K15" s="479" t="s">
        <v>773</v>
      </c>
      <c r="L15" s="479">
        <v>270</v>
      </c>
      <c r="M15" s="479" t="s">
        <v>764</v>
      </c>
      <c r="N15" s="479">
        <v>170</v>
      </c>
      <c r="T15" s="523">
        <v>450</v>
      </c>
      <c r="U15" s="524" t="s">
        <v>791</v>
      </c>
      <c r="V15" s="527" t="e">
        <f>SUMIF(#REF!,'base dados'!T15,#REF!)+SUMIF(#REF!,'base dados'!T15,#REF!)+SUMIF(#REF!,'base dados'!T15,#REF!)+SUMIF(#REF!,'base dados'!T15,#REF!)+SUMIF(#REF!,'base dados'!T15,#REF!)+SUMIF(#REF!,'base dados'!T15,#REF!)</f>
        <v>#REF!</v>
      </c>
      <c r="W15" s="464">
        <v>71.849999999999994</v>
      </c>
      <c r="X15" s="490" t="e">
        <f t="shared" si="0"/>
        <v>#REF!</v>
      </c>
    </row>
    <row r="16" spans="1:24" ht="18" x14ac:dyDescent="0.35">
      <c r="A16" s="479">
        <f t="shared" si="1"/>
        <v>160</v>
      </c>
      <c r="B16" s="479" t="s">
        <v>836</v>
      </c>
      <c r="C16" s="480">
        <v>4.34</v>
      </c>
      <c r="D16" s="517" t="s">
        <v>761</v>
      </c>
      <c r="F16" s="475">
        <v>1400</v>
      </c>
      <c r="M16" s="479" t="s">
        <v>765</v>
      </c>
      <c r="N16" s="479">
        <v>180</v>
      </c>
      <c r="T16" s="523">
        <v>410</v>
      </c>
      <c r="U16" s="524" t="s">
        <v>787</v>
      </c>
      <c r="V16" s="527" t="e">
        <f>X16/W16</f>
        <v>#REF!</v>
      </c>
      <c r="W16" s="464">
        <v>1.5</v>
      </c>
      <c r="X16" s="526" t="e">
        <f>SUMIF(#REF!,'base dados'!T16,#REF!)</f>
        <v>#REF!</v>
      </c>
    </row>
    <row r="17" spans="1:24" ht="18" x14ac:dyDescent="0.35">
      <c r="A17" s="479">
        <f t="shared" si="1"/>
        <v>170</v>
      </c>
      <c r="B17" s="520" t="s">
        <v>762</v>
      </c>
      <c r="C17" s="480">
        <v>29.45</v>
      </c>
      <c r="D17" s="517" t="s">
        <v>761</v>
      </c>
      <c r="F17" s="475">
        <v>1300</v>
      </c>
      <c r="M17" s="479" t="s">
        <v>767</v>
      </c>
      <c r="N17" s="479">
        <v>200</v>
      </c>
      <c r="T17" s="523">
        <v>420</v>
      </c>
      <c r="U17" s="524" t="s">
        <v>788</v>
      </c>
      <c r="V17" s="527" t="e">
        <f>X17/W17</f>
        <v>#REF!</v>
      </c>
      <c r="W17" s="464">
        <v>2.5</v>
      </c>
      <c r="X17" s="526" t="e">
        <f>SUMIF(#REF!,'base dados'!T17,#REF!)</f>
        <v>#REF!</v>
      </c>
    </row>
    <row r="18" spans="1:24" ht="18" x14ac:dyDescent="0.35">
      <c r="A18" s="479">
        <f t="shared" si="1"/>
        <v>180</v>
      </c>
      <c r="B18" s="520" t="s">
        <v>763</v>
      </c>
      <c r="C18" s="480">
        <v>9.6999999999999993</v>
      </c>
      <c r="D18" s="517" t="s">
        <v>761</v>
      </c>
      <c r="F18" s="475">
        <v>1300</v>
      </c>
      <c r="K18" s="477" t="s">
        <v>841</v>
      </c>
      <c r="L18" s="477" t="s">
        <v>0</v>
      </c>
      <c r="M18" s="479" t="s">
        <v>768</v>
      </c>
      <c r="N18" s="479">
        <v>210</v>
      </c>
      <c r="T18" s="523">
        <v>430</v>
      </c>
      <c r="U18" s="524" t="s">
        <v>789</v>
      </c>
      <c r="V18" s="527" t="e">
        <f>X18/W18</f>
        <v>#REF!</v>
      </c>
      <c r="W18" s="464">
        <v>1.6</v>
      </c>
      <c r="X18" s="526" t="e">
        <f>SUMIF(#REF!,'base dados'!T18,#REF!)</f>
        <v>#REF!</v>
      </c>
    </row>
    <row r="19" spans="1:24" ht="18" x14ac:dyDescent="0.35">
      <c r="A19" s="479">
        <f t="shared" si="1"/>
        <v>190</v>
      </c>
      <c r="B19" s="520" t="s">
        <v>764</v>
      </c>
      <c r="C19" s="480">
        <v>30.96</v>
      </c>
      <c r="D19" s="517" t="s">
        <v>761</v>
      </c>
      <c r="F19" s="475">
        <v>2530</v>
      </c>
      <c r="K19" s="479" t="s">
        <v>787</v>
      </c>
      <c r="L19" s="521">
        <v>410</v>
      </c>
      <c r="M19" s="479" t="s">
        <v>769</v>
      </c>
      <c r="N19" s="479">
        <v>220</v>
      </c>
      <c r="T19" s="523">
        <v>460</v>
      </c>
      <c r="U19" s="524" t="s">
        <v>792</v>
      </c>
      <c r="V19" s="527" t="e">
        <f>X19/W19</f>
        <v>#REF!</v>
      </c>
      <c r="W19" s="464">
        <v>1.8</v>
      </c>
      <c r="X19" s="526" t="e">
        <f>SUMIF(#REF!,'base dados'!T19,#REF!)</f>
        <v>#REF!</v>
      </c>
    </row>
    <row r="20" spans="1:24" ht="18" x14ac:dyDescent="0.35">
      <c r="A20" s="479">
        <f t="shared" si="1"/>
        <v>200</v>
      </c>
      <c r="B20" s="479" t="s">
        <v>765</v>
      </c>
      <c r="C20" s="480">
        <v>9.6999999999999993</v>
      </c>
      <c r="D20" s="517" t="s">
        <v>761</v>
      </c>
      <c r="F20" s="475">
        <v>2500</v>
      </c>
      <c r="K20" s="479" t="s">
        <v>788</v>
      </c>
      <c r="L20" s="521">
        <v>420</v>
      </c>
      <c r="M20" s="479" t="s">
        <v>770</v>
      </c>
      <c r="N20" s="479">
        <v>230</v>
      </c>
      <c r="T20" s="523">
        <v>470</v>
      </c>
      <c r="U20" s="524" t="s">
        <v>793</v>
      </c>
      <c r="V20" s="527" t="e">
        <f>X20/W20</f>
        <v>#REF!</v>
      </c>
      <c r="W20" s="464">
        <v>1.8</v>
      </c>
      <c r="X20" s="526" t="e">
        <f>SUMIF(#REF!,'base dados'!T20,#REF!)</f>
        <v>#REF!</v>
      </c>
    </row>
    <row r="21" spans="1:24" ht="18" x14ac:dyDescent="0.35">
      <c r="A21" s="479">
        <f t="shared" si="1"/>
        <v>210</v>
      </c>
      <c r="B21" s="479" t="s">
        <v>766</v>
      </c>
      <c r="C21" s="480">
        <v>3.48</v>
      </c>
      <c r="D21" s="517" t="s">
        <v>761</v>
      </c>
      <c r="F21" s="475">
        <v>2500</v>
      </c>
      <c r="K21" s="479" t="s">
        <v>789</v>
      </c>
      <c r="L21" s="521">
        <v>430</v>
      </c>
      <c r="M21" s="479" t="s">
        <v>771</v>
      </c>
      <c r="N21" s="479">
        <v>240</v>
      </c>
      <c r="T21" s="523">
        <v>20</v>
      </c>
      <c r="U21" s="524" t="s">
        <v>748</v>
      </c>
      <c r="V21" s="527" t="e">
        <f>SUMIF(#REF!,'base dados'!T21,#REF!)</f>
        <v>#REF!</v>
      </c>
      <c r="W21" s="464">
        <v>7800</v>
      </c>
      <c r="X21" s="490" t="e">
        <f>W21*V21</f>
        <v>#REF!</v>
      </c>
    </row>
    <row r="22" spans="1:24" ht="18" x14ac:dyDescent="0.35">
      <c r="A22" s="479">
        <f t="shared" si="1"/>
        <v>220</v>
      </c>
      <c r="B22" s="520" t="s">
        <v>767</v>
      </c>
      <c r="C22" s="480">
        <v>42.3</v>
      </c>
      <c r="D22" s="517" t="s">
        <v>761</v>
      </c>
      <c r="F22" s="475">
        <v>2500</v>
      </c>
      <c r="K22" s="479" t="s">
        <v>792</v>
      </c>
      <c r="L22" s="521">
        <v>460</v>
      </c>
      <c r="M22" s="479" t="s">
        <v>772</v>
      </c>
      <c r="N22" s="479">
        <v>260</v>
      </c>
      <c r="T22" s="523">
        <v>30</v>
      </c>
      <c r="U22" s="524" t="s">
        <v>750</v>
      </c>
      <c r="V22" s="527" t="e">
        <f>SUMIF(#REF!,'base dados'!T22,#REF!)</f>
        <v>#REF!</v>
      </c>
      <c r="W22" s="464">
        <v>6800</v>
      </c>
      <c r="X22" s="490" t="e">
        <f>W22*V22</f>
        <v>#REF!</v>
      </c>
    </row>
    <row r="23" spans="1:24" ht="18" x14ac:dyDescent="0.35">
      <c r="A23" s="479">
        <f t="shared" si="1"/>
        <v>230</v>
      </c>
      <c r="B23" s="520" t="s">
        <v>768</v>
      </c>
      <c r="C23" s="480">
        <v>36.299999999999997</v>
      </c>
      <c r="D23" s="517" t="s">
        <v>761</v>
      </c>
      <c r="F23" s="475">
        <v>2500</v>
      </c>
      <c r="K23" s="479" t="s">
        <v>793</v>
      </c>
      <c r="L23" s="521">
        <v>470</v>
      </c>
      <c r="M23" s="479" t="s">
        <v>774</v>
      </c>
      <c r="N23" s="479">
        <v>280</v>
      </c>
    </row>
    <row r="24" spans="1:24" ht="18" x14ac:dyDescent="0.35">
      <c r="A24" s="479">
        <f t="shared" si="1"/>
        <v>240</v>
      </c>
      <c r="B24" s="520" t="s">
        <v>769</v>
      </c>
      <c r="C24" s="480">
        <v>39.5</v>
      </c>
      <c r="D24" s="517" t="s">
        <v>761</v>
      </c>
      <c r="F24" s="475">
        <v>1750</v>
      </c>
      <c r="K24" s="479" t="s">
        <v>842</v>
      </c>
      <c r="L24" s="491"/>
      <c r="M24" s="479"/>
      <c r="N24" s="479"/>
    </row>
    <row r="25" spans="1:24" ht="18" x14ac:dyDescent="0.35">
      <c r="A25" s="479">
        <f t="shared" si="1"/>
        <v>250</v>
      </c>
      <c r="B25" s="520" t="s">
        <v>770</v>
      </c>
      <c r="C25" s="480">
        <v>37.96</v>
      </c>
      <c r="D25" s="517" t="s">
        <v>761</v>
      </c>
      <c r="F25" s="475">
        <v>1300</v>
      </c>
      <c r="K25" s="479"/>
      <c r="L25" s="491"/>
      <c r="M25" s="479"/>
      <c r="N25" s="479"/>
    </row>
    <row r="26" spans="1:24" ht="18" x14ac:dyDescent="0.35">
      <c r="A26" s="479">
        <f t="shared" si="1"/>
        <v>260</v>
      </c>
      <c r="B26" s="520" t="s">
        <v>771</v>
      </c>
      <c r="C26" s="480">
        <v>44.3</v>
      </c>
      <c r="D26" s="517" t="s">
        <v>761</v>
      </c>
      <c r="F26" s="475">
        <v>1750</v>
      </c>
      <c r="M26" s="479"/>
      <c r="N26" s="479"/>
    </row>
    <row r="27" spans="1:24" ht="18" x14ac:dyDescent="0.35">
      <c r="A27" s="479">
        <f t="shared" si="1"/>
        <v>270</v>
      </c>
      <c r="B27" s="479" t="s">
        <v>837</v>
      </c>
      <c r="C27" s="480">
        <v>6300</v>
      </c>
      <c r="D27" s="518" t="s">
        <v>731</v>
      </c>
      <c r="K27" s="477" t="s">
        <v>838</v>
      </c>
      <c r="L27" s="477" t="s">
        <v>849</v>
      </c>
      <c r="M27" s="477" t="s">
        <v>849</v>
      </c>
      <c r="N27" s="479"/>
    </row>
    <row r="28" spans="1:24" ht="18" x14ac:dyDescent="0.35">
      <c r="A28" s="479">
        <f t="shared" si="1"/>
        <v>280</v>
      </c>
      <c r="B28" s="520" t="s">
        <v>772</v>
      </c>
      <c r="C28" s="480">
        <v>38.5</v>
      </c>
      <c r="D28" s="517" t="s">
        <v>761</v>
      </c>
      <c r="F28" s="475">
        <v>2530</v>
      </c>
      <c r="K28" s="522" t="s">
        <v>839</v>
      </c>
      <c r="L28" s="528" t="s">
        <v>850</v>
      </c>
      <c r="M28" s="557" t="s">
        <v>851</v>
      </c>
      <c r="N28" s="479"/>
    </row>
    <row r="29" spans="1:24" ht="18" x14ac:dyDescent="0.35">
      <c r="A29" s="479">
        <f t="shared" si="1"/>
        <v>290</v>
      </c>
      <c r="B29" s="479" t="s">
        <v>773</v>
      </c>
      <c r="C29" s="480">
        <v>2500</v>
      </c>
      <c r="D29" s="518" t="s">
        <v>731</v>
      </c>
      <c r="K29" s="475" t="s">
        <v>840</v>
      </c>
      <c r="L29" s="528" t="s">
        <v>855</v>
      </c>
      <c r="M29" s="557" t="s">
        <v>860</v>
      </c>
      <c r="N29" s="479"/>
    </row>
    <row r="30" spans="1:24" ht="18" x14ac:dyDescent="0.35">
      <c r="A30" s="479">
        <f t="shared" si="1"/>
        <v>300</v>
      </c>
      <c r="B30" s="479" t="s">
        <v>774</v>
      </c>
      <c r="C30" s="480">
        <v>16823.41</v>
      </c>
      <c r="D30" s="519" t="s">
        <v>731</v>
      </c>
    </row>
    <row r="31" spans="1:24" ht="18" x14ac:dyDescent="0.35">
      <c r="A31" s="479">
        <f t="shared" si="1"/>
        <v>310</v>
      </c>
      <c r="B31" s="479" t="s">
        <v>775</v>
      </c>
      <c r="C31" s="480">
        <v>235</v>
      </c>
      <c r="D31" s="476" t="s">
        <v>749</v>
      </c>
    </row>
    <row r="32" spans="1:24" ht="18" x14ac:dyDescent="0.35">
      <c r="A32" s="479">
        <f t="shared" si="1"/>
        <v>320</v>
      </c>
      <c r="B32" s="479" t="s">
        <v>776</v>
      </c>
      <c r="C32" s="480">
        <v>197</v>
      </c>
      <c r="D32" s="476" t="s">
        <v>749</v>
      </c>
    </row>
    <row r="33" spans="1:5" ht="18" x14ac:dyDescent="0.35">
      <c r="A33" s="479">
        <f t="shared" si="1"/>
        <v>330</v>
      </c>
      <c r="B33" s="479" t="s">
        <v>777</v>
      </c>
      <c r="C33" s="480">
        <v>155</v>
      </c>
      <c r="D33" s="476" t="s">
        <v>749</v>
      </c>
    </row>
    <row r="34" spans="1:5" ht="18" x14ac:dyDescent="0.35">
      <c r="A34" s="479">
        <f t="shared" si="1"/>
        <v>340</v>
      </c>
      <c r="B34" s="479" t="s">
        <v>778</v>
      </c>
      <c r="C34" s="480">
        <v>149</v>
      </c>
      <c r="D34" s="476" t="s">
        <v>749</v>
      </c>
    </row>
    <row r="35" spans="1:5" ht="18" x14ac:dyDescent="0.35">
      <c r="A35" s="479">
        <f t="shared" si="1"/>
        <v>350</v>
      </c>
      <c r="B35" s="479" t="s">
        <v>779</v>
      </c>
      <c r="C35" s="480">
        <v>140</v>
      </c>
      <c r="D35" s="476" t="s">
        <v>749</v>
      </c>
    </row>
    <row r="36" spans="1:5" ht="18" x14ac:dyDescent="0.35">
      <c r="A36" s="479">
        <f t="shared" si="1"/>
        <v>360</v>
      </c>
      <c r="B36" s="479" t="s">
        <v>780</v>
      </c>
      <c r="C36" s="480">
        <v>142</v>
      </c>
      <c r="D36" s="476" t="s">
        <v>749</v>
      </c>
    </row>
    <row r="37" spans="1:5" ht="18" x14ac:dyDescent="0.35">
      <c r="A37" s="479">
        <f t="shared" si="1"/>
        <v>370</v>
      </c>
      <c r="B37" s="479" t="s">
        <v>781</v>
      </c>
      <c r="C37" s="480">
        <v>116.76</v>
      </c>
      <c r="D37" s="476" t="s">
        <v>749</v>
      </c>
    </row>
    <row r="38" spans="1:5" ht="18" x14ac:dyDescent="0.35">
      <c r="A38" s="479">
        <f t="shared" si="1"/>
        <v>380</v>
      </c>
      <c r="B38" s="479" t="s">
        <v>782</v>
      </c>
      <c r="C38" s="480">
        <v>94.89</v>
      </c>
      <c r="D38" s="476" t="s">
        <v>749</v>
      </c>
    </row>
    <row r="39" spans="1:5" ht="18" x14ac:dyDescent="0.35">
      <c r="A39" s="479">
        <f t="shared" si="1"/>
        <v>390</v>
      </c>
      <c r="B39" s="479" t="s">
        <v>783</v>
      </c>
      <c r="C39" s="480">
        <v>71.06</v>
      </c>
      <c r="D39" s="476" t="s">
        <v>749</v>
      </c>
    </row>
    <row r="40" spans="1:5" ht="18" x14ac:dyDescent="0.35">
      <c r="A40" s="479">
        <f t="shared" si="1"/>
        <v>400</v>
      </c>
      <c r="B40" s="479" t="s">
        <v>784</v>
      </c>
      <c r="C40" s="480">
        <v>61.88</v>
      </c>
      <c r="D40" s="476" t="s">
        <v>749</v>
      </c>
    </row>
    <row r="41" spans="1:5" ht="18" x14ac:dyDescent="0.35">
      <c r="A41" s="479">
        <f t="shared" si="1"/>
        <v>410</v>
      </c>
      <c r="B41" s="479" t="s">
        <v>785</v>
      </c>
      <c r="C41" s="480">
        <v>67.52</v>
      </c>
      <c r="D41" s="476" t="s">
        <v>749</v>
      </c>
    </row>
    <row r="42" spans="1:5" ht="18" x14ac:dyDescent="0.35">
      <c r="A42" s="479">
        <f t="shared" si="1"/>
        <v>420</v>
      </c>
      <c r="B42" s="479" t="s">
        <v>786</v>
      </c>
      <c r="C42" s="480">
        <v>65.52</v>
      </c>
      <c r="D42" s="476" t="s">
        <v>749</v>
      </c>
    </row>
    <row r="43" spans="1:5" ht="18" x14ac:dyDescent="0.35">
      <c r="A43" s="479">
        <f t="shared" si="1"/>
        <v>430</v>
      </c>
      <c r="B43" s="479" t="s">
        <v>787</v>
      </c>
      <c r="C43" s="491">
        <v>1.5</v>
      </c>
      <c r="D43" s="476" t="s">
        <v>749</v>
      </c>
    </row>
    <row r="44" spans="1:5" ht="18" x14ac:dyDescent="0.35">
      <c r="A44" s="479">
        <f t="shared" si="1"/>
        <v>440</v>
      </c>
      <c r="B44" s="479" t="s">
        <v>788</v>
      </c>
      <c r="C44" s="491">
        <v>2.5</v>
      </c>
      <c r="D44" s="476" t="s">
        <v>749</v>
      </c>
    </row>
    <row r="45" spans="1:5" ht="18" x14ac:dyDescent="0.35">
      <c r="A45" s="479">
        <f t="shared" si="1"/>
        <v>450</v>
      </c>
      <c r="B45" s="479" t="s">
        <v>789</v>
      </c>
      <c r="C45" s="491">
        <v>1.6</v>
      </c>
      <c r="D45" s="476" t="s">
        <v>749</v>
      </c>
    </row>
    <row r="46" spans="1:5" ht="18" x14ac:dyDescent="0.35">
      <c r="A46" s="479">
        <f t="shared" si="1"/>
        <v>460</v>
      </c>
      <c r="B46" s="479" t="s">
        <v>790</v>
      </c>
      <c r="C46" s="480">
        <v>10700</v>
      </c>
      <c r="D46" s="476" t="s">
        <v>731</v>
      </c>
      <c r="E46" s="549" t="s">
        <v>797</v>
      </c>
    </row>
    <row r="47" spans="1:5" ht="18" x14ac:dyDescent="0.35">
      <c r="A47" s="479">
        <f t="shared" si="1"/>
        <v>470</v>
      </c>
      <c r="B47" s="479" t="s">
        <v>791</v>
      </c>
      <c r="C47" s="491">
        <v>71.849999999999994</v>
      </c>
      <c r="D47" s="476" t="s">
        <v>749</v>
      </c>
    </row>
    <row r="48" spans="1:5" ht="18" x14ac:dyDescent="0.35">
      <c r="A48" s="479">
        <f t="shared" si="1"/>
        <v>480</v>
      </c>
      <c r="B48" s="479" t="s">
        <v>792</v>
      </c>
      <c r="C48" s="491">
        <v>1.8</v>
      </c>
      <c r="D48" s="476" t="s">
        <v>749</v>
      </c>
    </row>
    <row r="49" spans="1:16" ht="18" x14ac:dyDescent="0.35">
      <c r="A49" s="479">
        <f t="shared" si="1"/>
        <v>490</v>
      </c>
      <c r="B49" s="479" t="s">
        <v>793</v>
      </c>
      <c r="C49" s="491">
        <v>1.8</v>
      </c>
      <c r="D49" s="476" t="s">
        <v>749</v>
      </c>
    </row>
    <row r="50" spans="1:16" ht="18" x14ac:dyDescent="0.35">
      <c r="B50" s="479" t="s">
        <v>842</v>
      </c>
      <c r="C50" s="475">
        <v>1</v>
      </c>
    </row>
    <row r="56" spans="1:16" x14ac:dyDescent="0.3">
      <c r="L56" s="523"/>
      <c r="M56" s="524"/>
      <c r="N56" s="527"/>
      <c r="O56" s="464"/>
      <c r="P56"/>
    </row>
  </sheetData>
  <autoFilter ref="A1:P49" xr:uid="{00000000-0009-0000-0000-00000B000000}"/>
  <pageMargins left="0.511811024" right="0.511811024" top="0.78740157499999996" bottom="0.78740157499999996" header="0.31496062000000002" footer="0.31496062000000002"/>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J52"/>
  <sheetViews>
    <sheetView showGridLines="0" topLeftCell="A8" zoomScale="40" zoomScaleNormal="40" zoomScaleSheetLayoutView="55" workbookViewId="0">
      <pane xSplit="4" ySplit="4" topLeftCell="E12" activePane="bottomRight" state="frozen"/>
      <selection activeCell="D63" sqref="D63"/>
      <selection pane="topRight" activeCell="D63" sqref="D63"/>
      <selection pane="bottomLeft" activeCell="D63" sqref="D63"/>
      <selection pane="bottomRight" activeCell="D33" sqref="D33"/>
    </sheetView>
  </sheetViews>
  <sheetFormatPr defaultColWidth="8.6640625" defaultRowHeight="14.4" outlineLevelCol="1" x14ac:dyDescent="0.3"/>
  <cols>
    <col min="1" max="1" width="6.109375" style="114" customWidth="1" outlineLevel="1"/>
    <col min="2" max="2" width="61.33203125" style="114" bestFit="1" customWidth="1" outlineLevel="1"/>
    <col min="3" max="3" width="14.88671875" style="114" customWidth="1" outlineLevel="1"/>
    <col min="4" max="4" width="81.6640625" style="114" customWidth="1" outlineLevel="1"/>
    <col min="5" max="32" width="6.6640625" style="114" customWidth="1"/>
    <col min="33" max="33" width="7.33203125" style="114" customWidth="1"/>
    <col min="34" max="94" width="6.88671875" style="114" customWidth="1"/>
    <col min="95" max="95" width="13.33203125" style="567" customWidth="1"/>
    <col min="96" max="96" width="8.6640625" style="567" customWidth="1"/>
    <col min="97" max="97" width="7.6640625" style="114" customWidth="1"/>
    <col min="98" max="98" width="22.109375" style="114" customWidth="1"/>
    <col min="99" max="99" width="114.33203125" style="114" customWidth="1"/>
    <col min="100" max="100" width="16.44140625" style="114" customWidth="1"/>
    <col min="101" max="101" width="22.109375" style="114" customWidth="1"/>
    <col min="102" max="102" width="20.109375" style="114" customWidth="1"/>
    <col min="103" max="103" width="18" style="114" customWidth="1"/>
    <col min="104" max="104" width="14.109375" style="114" customWidth="1"/>
    <col min="105" max="105" width="18.44140625" style="114" customWidth="1"/>
    <col min="106" max="106" width="21.6640625" style="114" customWidth="1"/>
    <col min="107" max="107" width="13.33203125" style="114" customWidth="1"/>
    <col min="108" max="108" width="28.33203125" style="114" customWidth="1"/>
    <col min="109" max="109" width="4.6640625" style="114" customWidth="1"/>
    <col min="110" max="110" width="18.88671875" style="114" bestFit="1" customWidth="1"/>
    <col min="111" max="111" width="21" style="114" customWidth="1"/>
    <col min="112" max="112" width="11.44140625" style="114" bestFit="1" customWidth="1"/>
    <col min="113" max="113" width="8.6640625" style="114"/>
    <col min="114" max="114" width="11.77734375" style="114" bestFit="1" customWidth="1"/>
    <col min="115" max="200" width="8.6640625" style="114"/>
    <col min="201" max="201" width="30.88671875" style="114" customWidth="1"/>
    <col min="202" max="202" width="17.33203125" style="114" customWidth="1"/>
    <col min="203" max="204" width="0" style="114" hidden="1" customWidth="1"/>
    <col min="205" max="205" width="36.33203125" style="114" customWidth="1"/>
    <col min="206" max="217" width="7.33203125" style="114" customWidth="1"/>
    <col min="218" max="218" width="7.6640625" style="114" customWidth="1"/>
    <col min="219" max="227" width="7.33203125" style="114" customWidth="1"/>
    <col min="228" max="228" width="8.109375" style="114" customWidth="1"/>
    <col min="229" max="252" width="7.33203125" style="114" customWidth="1"/>
    <col min="253" max="301" width="0" style="114" hidden="1" customWidth="1"/>
    <col min="302" max="302" width="13.33203125" style="114" customWidth="1"/>
    <col min="303" max="304" width="8.6640625" style="114"/>
    <col min="305" max="315" width="0" style="114" hidden="1" customWidth="1"/>
    <col min="316" max="316" width="8.6640625" style="114"/>
    <col min="317" max="317" width="7.6640625" style="114" bestFit="1" customWidth="1"/>
    <col min="318" max="318" width="45.6640625" style="114" customWidth="1"/>
    <col min="319" max="319" width="16.44140625" style="114" customWidth="1"/>
    <col min="320" max="320" width="22.109375" style="114" customWidth="1"/>
    <col min="321" max="321" width="20.109375" style="114" customWidth="1"/>
    <col min="322" max="322" width="21.6640625" style="114" customWidth="1"/>
    <col min="323" max="323" width="16" style="114" customWidth="1"/>
    <col min="324" max="324" width="18.44140625" style="114" customWidth="1"/>
    <col min="325" max="325" width="21.6640625" style="114" customWidth="1"/>
    <col min="326" max="326" width="13.33203125" style="114" customWidth="1"/>
    <col min="327" max="327" width="28.33203125" style="114" customWidth="1"/>
    <col min="328" max="328" width="4.6640625" style="114" customWidth="1"/>
    <col min="329" max="329" width="7.6640625" style="114" bestFit="1" customWidth="1"/>
    <col min="330" max="330" width="45.6640625" style="114" customWidth="1"/>
    <col min="331" max="331" width="16.44140625" style="114" customWidth="1"/>
    <col min="332" max="332" width="22.109375" style="114" customWidth="1"/>
    <col min="333" max="333" width="20.109375" style="114" customWidth="1"/>
    <col min="334" max="334" width="21.6640625" style="114" customWidth="1"/>
    <col min="335" max="335" width="16" style="114" customWidth="1"/>
    <col min="336" max="336" width="18.44140625" style="114" customWidth="1"/>
    <col min="337" max="337" width="21.6640625" style="114" customWidth="1"/>
    <col min="338" max="338" width="13.33203125" style="114" customWidth="1"/>
    <col min="339" max="339" width="28.33203125" style="114" customWidth="1"/>
    <col min="340" max="363" width="0" style="114" hidden="1" customWidth="1"/>
    <col min="364" max="366" width="8.6640625" style="114"/>
    <col min="367" max="367" width="21" style="114" customWidth="1"/>
    <col min="368" max="456" width="8.6640625" style="114"/>
    <col min="457" max="457" width="30.88671875" style="114" customWidth="1"/>
    <col min="458" max="458" width="17.33203125" style="114" customWidth="1"/>
    <col min="459" max="460" width="0" style="114" hidden="1" customWidth="1"/>
    <col min="461" max="461" width="36.33203125" style="114" customWidth="1"/>
    <col min="462" max="473" width="7.33203125" style="114" customWidth="1"/>
    <col min="474" max="474" width="7.6640625" style="114" customWidth="1"/>
    <col min="475" max="483" width="7.33203125" style="114" customWidth="1"/>
    <col min="484" max="484" width="8.109375" style="114" customWidth="1"/>
    <col min="485" max="508" width="7.33203125" style="114" customWidth="1"/>
    <col min="509" max="557" width="0" style="114" hidden="1" customWidth="1"/>
    <col min="558" max="558" width="13.33203125" style="114" customWidth="1"/>
    <col min="559" max="560" width="8.6640625" style="114"/>
    <col min="561" max="571" width="0" style="114" hidden="1" customWidth="1"/>
    <col min="572" max="572" width="8.6640625" style="114"/>
    <col min="573" max="573" width="7.6640625" style="114" bestFit="1" customWidth="1"/>
    <col min="574" max="574" width="45.6640625" style="114" customWidth="1"/>
    <col min="575" max="575" width="16.44140625" style="114" customWidth="1"/>
    <col min="576" max="576" width="22.109375" style="114" customWidth="1"/>
    <col min="577" max="577" width="20.109375" style="114" customWidth="1"/>
    <col min="578" max="578" width="21.6640625" style="114" customWidth="1"/>
    <col min="579" max="579" width="16" style="114" customWidth="1"/>
    <col min="580" max="580" width="18.44140625" style="114" customWidth="1"/>
    <col min="581" max="581" width="21.6640625" style="114" customWidth="1"/>
    <col min="582" max="582" width="13.33203125" style="114" customWidth="1"/>
    <col min="583" max="583" width="28.33203125" style="114" customWidth="1"/>
    <col min="584" max="584" width="4.6640625" style="114" customWidth="1"/>
    <col min="585" max="585" width="7.6640625" style="114" bestFit="1" customWidth="1"/>
    <col min="586" max="586" width="45.6640625" style="114" customWidth="1"/>
    <col min="587" max="587" width="16.44140625" style="114" customWidth="1"/>
    <col min="588" max="588" width="22.109375" style="114" customWidth="1"/>
    <col min="589" max="589" width="20.109375" style="114" customWidth="1"/>
    <col min="590" max="590" width="21.6640625" style="114" customWidth="1"/>
    <col min="591" max="591" width="16" style="114" customWidth="1"/>
    <col min="592" max="592" width="18.44140625" style="114" customWidth="1"/>
    <col min="593" max="593" width="21.6640625" style="114" customWidth="1"/>
    <col min="594" max="594" width="13.33203125" style="114" customWidth="1"/>
    <col min="595" max="595" width="28.33203125" style="114" customWidth="1"/>
    <col min="596" max="619" width="0" style="114" hidden="1" customWidth="1"/>
    <col min="620" max="622" width="8.6640625" style="114"/>
    <col min="623" max="623" width="21" style="114" customWidth="1"/>
    <col min="624" max="712" width="8.6640625" style="114"/>
    <col min="713" max="713" width="30.88671875" style="114" customWidth="1"/>
    <col min="714" max="714" width="17.33203125" style="114" customWidth="1"/>
    <col min="715" max="716" width="0" style="114" hidden="1" customWidth="1"/>
    <col min="717" max="717" width="36.33203125" style="114" customWidth="1"/>
    <col min="718" max="729" width="7.33203125" style="114" customWidth="1"/>
    <col min="730" max="730" width="7.6640625" style="114" customWidth="1"/>
    <col min="731" max="739" width="7.33203125" style="114" customWidth="1"/>
    <col min="740" max="740" width="8.109375" style="114" customWidth="1"/>
    <col min="741" max="764" width="7.33203125" style="114" customWidth="1"/>
    <col min="765" max="813" width="0" style="114" hidden="1" customWidth="1"/>
    <col min="814" max="814" width="13.33203125" style="114" customWidth="1"/>
    <col min="815" max="816" width="8.6640625" style="114"/>
    <col min="817" max="827" width="0" style="114" hidden="1" customWidth="1"/>
    <col min="828" max="828" width="8.6640625" style="114"/>
    <col min="829" max="829" width="7.6640625" style="114" bestFit="1" customWidth="1"/>
    <col min="830" max="830" width="45.6640625" style="114" customWidth="1"/>
    <col min="831" max="831" width="16.44140625" style="114" customWidth="1"/>
    <col min="832" max="832" width="22.109375" style="114" customWidth="1"/>
    <col min="833" max="833" width="20.109375" style="114" customWidth="1"/>
    <col min="834" max="834" width="21.6640625" style="114" customWidth="1"/>
    <col min="835" max="835" width="16" style="114" customWidth="1"/>
    <col min="836" max="836" width="18.44140625" style="114" customWidth="1"/>
    <col min="837" max="837" width="21.6640625" style="114" customWidth="1"/>
    <col min="838" max="838" width="13.33203125" style="114" customWidth="1"/>
    <col min="839" max="839" width="28.33203125" style="114" customWidth="1"/>
    <col min="840" max="840" width="4.6640625" style="114" customWidth="1"/>
    <col min="841" max="841" width="7.6640625" style="114" bestFit="1" customWidth="1"/>
    <col min="842" max="842" width="45.6640625" style="114" customWidth="1"/>
    <col min="843" max="843" width="16.44140625" style="114" customWidth="1"/>
    <col min="844" max="844" width="22.109375" style="114" customWidth="1"/>
    <col min="845" max="845" width="20.109375" style="114" customWidth="1"/>
    <col min="846" max="846" width="21.6640625" style="114" customWidth="1"/>
    <col min="847" max="847" width="16" style="114" customWidth="1"/>
    <col min="848" max="848" width="18.44140625" style="114" customWidth="1"/>
    <col min="849" max="849" width="21.6640625" style="114" customWidth="1"/>
    <col min="850" max="850" width="13.33203125" style="114" customWidth="1"/>
    <col min="851" max="851" width="28.33203125" style="114" customWidth="1"/>
    <col min="852" max="875" width="0" style="114" hidden="1" customWidth="1"/>
    <col min="876" max="878" width="8.6640625" style="114"/>
    <col min="879" max="879" width="21" style="114" customWidth="1"/>
    <col min="880" max="968" width="8.6640625" style="114"/>
    <col min="969" max="969" width="30.88671875" style="114" customWidth="1"/>
    <col min="970" max="970" width="17.33203125" style="114" customWidth="1"/>
    <col min="971" max="972" width="0" style="114" hidden="1" customWidth="1"/>
    <col min="973" max="973" width="36.33203125" style="114" customWidth="1"/>
    <col min="974" max="985" width="7.33203125" style="114" customWidth="1"/>
    <col min="986" max="986" width="7.6640625" style="114" customWidth="1"/>
    <col min="987" max="995" width="7.33203125" style="114" customWidth="1"/>
    <col min="996" max="996" width="8.109375" style="114" customWidth="1"/>
    <col min="997" max="1020" width="7.33203125" style="114" customWidth="1"/>
    <col min="1021" max="1069" width="0" style="114" hidden="1" customWidth="1"/>
    <col min="1070" max="1070" width="13.33203125" style="114" customWidth="1"/>
    <col min="1071" max="1072" width="8.6640625" style="114"/>
    <col min="1073" max="1083" width="0" style="114" hidden="1" customWidth="1"/>
    <col min="1084" max="1084" width="8.6640625" style="114"/>
    <col min="1085" max="1085" width="7.6640625" style="114" bestFit="1" customWidth="1"/>
    <col min="1086" max="1086" width="45.6640625" style="114" customWidth="1"/>
    <col min="1087" max="1087" width="16.44140625" style="114" customWidth="1"/>
    <col min="1088" max="1088" width="22.109375" style="114" customWidth="1"/>
    <col min="1089" max="1089" width="20.109375" style="114" customWidth="1"/>
    <col min="1090" max="1090" width="21.6640625" style="114" customWidth="1"/>
    <col min="1091" max="1091" width="16" style="114" customWidth="1"/>
    <col min="1092" max="1092" width="18.44140625" style="114" customWidth="1"/>
    <col min="1093" max="1093" width="21.6640625" style="114" customWidth="1"/>
    <col min="1094" max="1094" width="13.33203125" style="114" customWidth="1"/>
    <col min="1095" max="1095" width="28.33203125" style="114" customWidth="1"/>
    <col min="1096" max="1096" width="4.6640625" style="114" customWidth="1"/>
    <col min="1097" max="1097" width="7.6640625" style="114" bestFit="1" customWidth="1"/>
    <col min="1098" max="1098" width="45.6640625" style="114" customWidth="1"/>
    <col min="1099" max="1099" width="16.44140625" style="114" customWidth="1"/>
    <col min="1100" max="1100" width="22.109375" style="114" customWidth="1"/>
    <col min="1101" max="1101" width="20.109375" style="114" customWidth="1"/>
    <col min="1102" max="1102" width="21.6640625" style="114" customWidth="1"/>
    <col min="1103" max="1103" width="16" style="114" customWidth="1"/>
    <col min="1104" max="1104" width="18.44140625" style="114" customWidth="1"/>
    <col min="1105" max="1105" width="21.6640625" style="114" customWidth="1"/>
    <col min="1106" max="1106" width="13.33203125" style="114" customWidth="1"/>
    <col min="1107" max="1107" width="28.33203125" style="114" customWidth="1"/>
    <col min="1108" max="1131" width="0" style="114" hidden="1" customWidth="1"/>
    <col min="1132" max="1134" width="8.6640625" style="114"/>
    <col min="1135" max="1135" width="21" style="114" customWidth="1"/>
    <col min="1136" max="1224" width="8.6640625" style="114"/>
    <col min="1225" max="1225" width="30.88671875" style="114" customWidth="1"/>
    <col min="1226" max="1226" width="17.33203125" style="114" customWidth="1"/>
    <col min="1227" max="1228" width="0" style="114" hidden="1" customWidth="1"/>
    <col min="1229" max="1229" width="36.33203125" style="114" customWidth="1"/>
    <col min="1230" max="1241" width="7.33203125" style="114" customWidth="1"/>
    <col min="1242" max="1242" width="7.6640625" style="114" customWidth="1"/>
    <col min="1243" max="1251" width="7.33203125" style="114" customWidth="1"/>
    <col min="1252" max="1252" width="8.109375" style="114" customWidth="1"/>
    <col min="1253" max="1276" width="7.33203125" style="114" customWidth="1"/>
    <col min="1277" max="1325" width="0" style="114" hidden="1" customWidth="1"/>
    <col min="1326" max="1326" width="13.33203125" style="114" customWidth="1"/>
    <col min="1327" max="1328" width="8.6640625" style="114"/>
    <col min="1329" max="1339" width="0" style="114" hidden="1" customWidth="1"/>
    <col min="1340" max="1340" width="8.6640625" style="114"/>
    <col min="1341" max="1341" width="7.6640625" style="114" bestFit="1" customWidth="1"/>
    <col min="1342" max="1342" width="45.6640625" style="114" customWidth="1"/>
    <col min="1343" max="1343" width="16.44140625" style="114" customWidth="1"/>
    <col min="1344" max="1344" width="22.109375" style="114" customWidth="1"/>
    <col min="1345" max="1345" width="20.109375" style="114" customWidth="1"/>
    <col min="1346" max="1346" width="21.6640625" style="114" customWidth="1"/>
    <col min="1347" max="1347" width="16" style="114" customWidth="1"/>
    <col min="1348" max="1348" width="18.44140625" style="114" customWidth="1"/>
    <col min="1349" max="1349" width="21.6640625" style="114" customWidth="1"/>
    <col min="1350" max="1350" width="13.33203125" style="114" customWidth="1"/>
    <col min="1351" max="1351" width="28.33203125" style="114" customWidth="1"/>
    <col min="1352" max="1352" width="4.6640625" style="114" customWidth="1"/>
    <col min="1353" max="1353" width="7.6640625" style="114" bestFit="1" customWidth="1"/>
    <col min="1354" max="1354" width="45.6640625" style="114" customWidth="1"/>
    <col min="1355" max="1355" width="16.44140625" style="114" customWidth="1"/>
    <col min="1356" max="1356" width="22.109375" style="114" customWidth="1"/>
    <col min="1357" max="1357" width="20.109375" style="114" customWidth="1"/>
    <col min="1358" max="1358" width="21.6640625" style="114" customWidth="1"/>
    <col min="1359" max="1359" width="16" style="114" customWidth="1"/>
    <col min="1360" max="1360" width="18.44140625" style="114" customWidth="1"/>
    <col min="1361" max="1361" width="21.6640625" style="114" customWidth="1"/>
    <col min="1362" max="1362" width="13.33203125" style="114" customWidth="1"/>
    <col min="1363" max="1363" width="28.33203125" style="114" customWidth="1"/>
    <col min="1364" max="1387" width="0" style="114" hidden="1" customWidth="1"/>
    <col min="1388" max="1390" width="8.6640625" style="114"/>
    <col min="1391" max="1391" width="21" style="114" customWidth="1"/>
    <col min="1392" max="1480" width="8.6640625" style="114"/>
    <col min="1481" max="1481" width="30.88671875" style="114" customWidth="1"/>
    <col min="1482" max="1482" width="17.33203125" style="114" customWidth="1"/>
    <col min="1483" max="1484" width="0" style="114" hidden="1" customWidth="1"/>
    <col min="1485" max="1485" width="36.33203125" style="114" customWidth="1"/>
    <col min="1486" max="1497" width="7.33203125" style="114" customWidth="1"/>
    <col min="1498" max="1498" width="7.6640625" style="114" customWidth="1"/>
    <col min="1499" max="1507" width="7.33203125" style="114" customWidth="1"/>
    <col min="1508" max="1508" width="8.109375" style="114" customWidth="1"/>
    <col min="1509" max="1532" width="7.33203125" style="114" customWidth="1"/>
    <col min="1533" max="1581" width="0" style="114" hidden="1" customWidth="1"/>
    <col min="1582" max="1582" width="13.33203125" style="114" customWidth="1"/>
    <col min="1583" max="1584" width="8.6640625" style="114"/>
    <col min="1585" max="1595" width="0" style="114" hidden="1" customWidth="1"/>
    <col min="1596" max="1596" width="8.6640625" style="114"/>
    <col min="1597" max="1597" width="7.6640625" style="114" bestFit="1" customWidth="1"/>
    <col min="1598" max="1598" width="45.6640625" style="114" customWidth="1"/>
    <col min="1599" max="1599" width="16.44140625" style="114" customWidth="1"/>
    <col min="1600" max="1600" width="22.109375" style="114" customWidth="1"/>
    <col min="1601" max="1601" width="20.109375" style="114" customWidth="1"/>
    <col min="1602" max="1602" width="21.6640625" style="114" customWidth="1"/>
    <col min="1603" max="1603" width="16" style="114" customWidth="1"/>
    <col min="1604" max="1604" width="18.44140625" style="114" customWidth="1"/>
    <col min="1605" max="1605" width="21.6640625" style="114" customWidth="1"/>
    <col min="1606" max="1606" width="13.33203125" style="114" customWidth="1"/>
    <col min="1607" max="1607" width="28.33203125" style="114" customWidth="1"/>
    <col min="1608" max="1608" width="4.6640625" style="114" customWidth="1"/>
    <col min="1609" max="1609" width="7.6640625" style="114" bestFit="1" customWidth="1"/>
    <col min="1610" max="1610" width="45.6640625" style="114" customWidth="1"/>
    <col min="1611" max="1611" width="16.44140625" style="114" customWidth="1"/>
    <col min="1612" max="1612" width="22.109375" style="114" customWidth="1"/>
    <col min="1613" max="1613" width="20.109375" style="114" customWidth="1"/>
    <col min="1614" max="1614" width="21.6640625" style="114" customWidth="1"/>
    <col min="1615" max="1615" width="16" style="114" customWidth="1"/>
    <col min="1616" max="1616" width="18.44140625" style="114" customWidth="1"/>
    <col min="1617" max="1617" width="21.6640625" style="114" customWidth="1"/>
    <col min="1618" max="1618" width="13.33203125" style="114" customWidth="1"/>
    <col min="1619" max="1619" width="28.33203125" style="114" customWidth="1"/>
    <col min="1620" max="1643" width="0" style="114" hidden="1" customWidth="1"/>
    <col min="1644" max="1646" width="8.6640625" style="114"/>
    <col min="1647" max="1647" width="21" style="114" customWidth="1"/>
    <col min="1648" max="1736" width="8.6640625" style="114"/>
    <col min="1737" max="1737" width="30.88671875" style="114" customWidth="1"/>
    <col min="1738" max="1738" width="17.33203125" style="114" customWidth="1"/>
    <col min="1739" max="1740" width="0" style="114" hidden="1" customWidth="1"/>
    <col min="1741" max="1741" width="36.33203125" style="114" customWidth="1"/>
    <col min="1742" max="1753" width="7.33203125" style="114" customWidth="1"/>
    <col min="1754" max="1754" width="7.6640625" style="114" customWidth="1"/>
    <col min="1755" max="1763" width="7.33203125" style="114" customWidth="1"/>
    <col min="1764" max="1764" width="8.109375" style="114" customWidth="1"/>
    <col min="1765" max="1788" width="7.33203125" style="114" customWidth="1"/>
    <col min="1789" max="1837" width="0" style="114" hidden="1" customWidth="1"/>
    <col min="1838" max="1838" width="13.33203125" style="114" customWidth="1"/>
    <col min="1839" max="1840" width="8.6640625" style="114"/>
    <col min="1841" max="1851" width="0" style="114" hidden="1" customWidth="1"/>
    <col min="1852" max="1852" width="8.6640625" style="114"/>
    <col min="1853" max="1853" width="7.6640625" style="114" bestFit="1" customWidth="1"/>
    <col min="1854" max="1854" width="45.6640625" style="114" customWidth="1"/>
    <col min="1855" max="1855" width="16.44140625" style="114" customWidth="1"/>
    <col min="1856" max="1856" width="22.109375" style="114" customWidth="1"/>
    <col min="1857" max="1857" width="20.109375" style="114" customWidth="1"/>
    <col min="1858" max="1858" width="21.6640625" style="114" customWidth="1"/>
    <col min="1859" max="1859" width="16" style="114" customWidth="1"/>
    <col min="1860" max="1860" width="18.44140625" style="114" customWidth="1"/>
    <col min="1861" max="1861" width="21.6640625" style="114" customWidth="1"/>
    <col min="1862" max="1862" width="13.33203125" style="114" customWidth="1"/>
    <col min="1863" max="1863" width="28.33203125" style="114" customWidth="1"/>
    <col min="1864" max="1864" width="4.6640625" style="114" customWidth="1"/>
    <col min="1865" max="1865" width="7.6640625" style="114" bestFit="1" customWidth="1"/>
    <col min="1866" max="1866" width="45.6640625" style="114" customWidth="1"/>
    <col min="1867" max="1867" width="16.44140625" style="114" customWidth="1"/>
    <col min="1868" max="1868" width="22.109375" style="114" customWidth="1"/>
    <col min="1869" max="1869" width="20.109375" style="114" customWidth="1"/>
    <col min="1870" max="1870" width="21.6640625" style="114" customWidth="1"/>
    <col min="1871" max="1871" width="16" style="114" customWidth="1"/>
    <col min="1872" max="1872" width="18.44140625" style="114" customWidth="1"/>
    <col min="1873" max="1873" width="21.6640625" style="114" customWidth="1"/>
    <col min="1874" max="1874" width="13.33203125" style="114" customWidth="1"/>
    <col min="1875" max="1875" width="28.33203125" style="114" customWidth="1"/>
    <col min="1876" max="1899" width="0" style="114" hidden="1" customWidth="1"/>
    <col min="1900" max="1902" width="8.6640625" style="114"/>
    <col min="1903" max="1903" width="21" style="114" customWidth="1"/>
    <col min="1904" max="1992" width="8.6640625" style="114"/>
    <col min="1993" max="1993" width="30.88671875" style="114" customWidth="1"/>
    <col min="1994" max="1994" width="17.33203125" style="114" customWidth="1"/>
    <col min="1995" max="1996" width="0" style="114" hidden="1" customWidth="1"/>
    <col min="1997" max="1997" width="36.33203125" style="114" customWidth="1"/>
    <col min="1998" max="2009" width="7.33203125" style="114" customWidth="1"/>
    <col min="2010" max="2010" width="7.6640625" style="114" customWidth="1"/>
    <col min="2011" max="2019" width="7.33203125" style="114" customWidth="1"/>
    <col min="2020" max="2020" width="8.109375" style="114" customWidth="1"/>
    <col min="2021" max="2044" width="7.33203125" style="114" customWidth="1"/>
    <col min="2045" max="2093" width="0" style="114" hidden="1" customWidth="1"/>
    <col min="2094" max="2094" width="13.33203125" style="114" customWidth="1"/>
    <col min="2095" max="2096" width="8.6640625" style="114"/>
    <col min="2097" max="2107" width="0" style="114" hidden="1" customWidth="1"/>
    <col min="2108" max="2108" width="8.6640625" style="114"/>
    <col min="2109" max="2109" width="7.6640625" style="114" bestFit="1" customWidth="1"/>
    <col min="2110" max="2110" width="45.6640625" style="114" customWidth="1"/>
    <col min="2111" max="2111" width="16.44140625" style="114" customWidth="1"/>
    <col min="2112" max="2112" width="22.109375" style="114" customWidth="1"/>
    <col min="2113" max="2113" width="20.109375" style="114" customWidth="1"/>
    <col min="2114" max="2114" width="21.6640625" style="114" customWidth="1"/>
    <col min="2115" max="2115" width="16" style="114" customWidth="1"/>
    <col min="2116" max="2116" width="18.44140625" style="114" customWidth="1"/>
    <col min="2117" max="2117" width="21.6640625" style="114" customWidth="1"/>
    <col min="2118" max="2118" width="13.33203125" style="114" customWidth="1"/>
    <col min="2119" max="2119" width="28.33203125" style="114" customWidth="1"/>
    <col min="2120" max="2120" width="4.6640625" style="114" customWidth="1"/>
    <col min="2121" max="2121" width="7.6640625" style="114" bestFit="1" customWidth="1"/>
    <col min="2122" max="2122" width="45.6640625" style="114" customWidth="1"/>
    <col min="2123" max="2123" width="16.44140625" style="114" customWidth="1"/>
    <col min="2124" max="2124" width="22.109375" style="114" customWidth="1"/>
    <col min="2125" max="2125" width="20.109375" style="114" customWidth="1"/>
    <col min="2126" max="2126" width="21.6640625" style="114" customWidth="1"/>
    <col min="2127" max="2127" width="16" style="114" customWidth="1"/>
    <col min="2128" max="2128" width="18.44140625" style="114" customWidth="1"/>
    <col min="2129" max="2129" width="21.6640625" style="114" customWidth="1"/>
    <col min="2130" max="2130" width="13.33203125" style="114" customWidth="1"/>
    <col min="2131" max="2131" width="28.33203125" style="114" customWidth="1"/>
    <col min="2132" max="2155" width="0" style="114" hidden="1" customWidth="1"/>
    <col min="2156" max="2158" width="8.6640625" style="114"/>
    <col min="2159" max="2159" width="21" style="114" customWidth="1"/>
    <col min="2160" max="2248" width="8.6640625" style="114"/>
    <col min="2249" max="2249" width="30.88671875" style="114" customWidth="1"/>
    <col min="2250" max="2250" width="17.33203125" style="114" customWidth="1"/>
    <col min="2251" max="2252" width="0" style="114" hidden="1" customWidth="1"/>
    <col min="2253" max="2253" width="36.33203125" style="114" customWidth="1"/>
    <col min="2254" max="2265" width="7.33203125" style="114" customWidth="1"/>
    <col min="2266" max="2266" width="7.6640625" style="114" customWidth="1"/>
    <col min="2267" max="2275" width="7.33203125" style="114" customWidth="1"/>
    <col min="2276" max="2276" width="8.109375" style="114" customWidth="1"/>
    <col min="2277" max="2300" width="7.33203125" style="114" customWidth="1"/>
    <col min="2301" max="2349" width="0" style="114" hidden="1" customWidth="1"/>
    <col min="2350" max="2350" width="13.33203125" style="114" customWidth="1"/>
    <col min="2351" max="2352" width="8.6640625" style="114"/>
    <col min="2353" max="2363" width="0" style="114" hidden="1" customWidth="1"/>
    <col min="2364" max="2364" width="8.6640625" style="114"/>
    <col min="2365" max="2365" width="7.6640625" style="114" bestFit="1" customWidth="1"/>
    <col min="2366" max="2366" width="45.6640625" style="114" customWidth="1"/>
    <col min="2367" max="2367" width="16.44140625" style="114" customWidth="1"/>
    <col min="2368" max="2368" width="22.109375" style="114" customWidth="1"/>
    <col min="2369" max="2369" width="20.109375" style="114" customWidth="1"/>
    <col min="2370" max="2370" width="21.6640625" style="114" customWidth="1"/>
    <col min="2371" max="2371" width="16" style="114" customWidth="1"/>
    <col min="2372" max="2372" width="18.44140625" style="114" customWidth="1"/>
    <col min="2373" max="2373" width="21.6640625" style="114" customWidth="1"/>
    <col min="2374" max="2374" width="13.33203125" style="114" customWidth="1"/>
    <col min="2375" max="2375" width="28.33203125" style="114" customWidth="1"/>
    <col min="2376" max="2376" width="4.6640625" style="114" customWidth="1"/>
    <col min="2377" max="2377" width="7.6640625" style="114" bestFit="1" customWidth="1"/>
    <col min="2378" max="2378" width="45.6640625" style="114" customWidth="1"/>
    <col min="2379" max="2379" width="16.44140625" style="114" customWidth="1"/>
    <col min="2380" max="2380" width="22.109375" style="114" customWidth="1"/>
    <col min="2381" max="2381" width="20.109375" style="114" customWidth="1"/>
    <col min="2382" max="2382" width="21.6640625" style="114" customWidth="1"/>
    <col min="2383" max="2383" width="16" style="114" customWidth="1"/>
    <col min="2384" max="2384" width="18.44140625" style="114" customWidth="1"/>
    <col min="2385" max="2385" width="21.6640625" style="114" customWidth="1"/>
    <col min="2386" max="2386" width="13.33203125" style="114" customWidth="1"/>
    <col min="2387" max="2387" width="28.33203125" style="114" customWidth="1"/>
    <col min="2388" max="2411" width="0" style="114" hidden="1" customWidth="1"/>
    <col min="2412" max="2414" width="8.6640625" style="114"/>
    <col min="2415" max="2415" width="21" style="114" customWidth="1"/>
    <col min="2416" max="2504" width="8.6640625" style="114"/>
    <col min="2505" max="2505" width="30.88671875" style="114" customWidth="1"/>
    <col min="2506" max="2506" width="17.33203125" style="114" customWidth="1"/>
    <col min="2507" max="2508" width="0" style="114" hidden="1" customWidth="1"/>
    <col min="2509" max="2509" width="36.33203125" style="114" customWidth="1"/>
    <col min="2510" max="2521" width="7.33203125" style="114" customWidth="1"/>
    <col min="2522" max="2522" width="7.6640625" style="114" customWidth="1"/>
    <col min="2523" max="2531" width="7.33203125" style="114" customWidth="1"/>
    <col min="2532" max="2532" width="8.109375" style="114" customWidth="1"/>
    <col min="2533" max="2556" width="7.33203125" style="114" customWidth="1"/>
    <col min="2557" max="2605" width="0" style="114" hidden="1" customWidth="1"/>
    <col min="2606" max="2606" width="13.33203125" style="114" customWidth="1"/>
    <col min="2607" max="2608" width="8.6640625" style="114"/>
    <col min="2609" max="2619" width="0" style="114" hidden="1" customWidth="1"/>
    <col min="2620" max="2620" width="8.6640625" style="114"/>
    <col min="2621" max="2621" width="7.6640625" style="114" bestFit="1" customWidth="1"/>
    <col min="2622" max="2622" width="45.6640625" style="114" customWidth="1"/>
    <col min="2623" max="2623" width="16.44140625" style="114" customWidth="1"/>
    <col min="2624" max="2624" width="22.109375" style="114" customWidth="1"/>
    <col min="2625" max="2625" width="20.109375" style="114" customWidth="1"/>
    <col min="2626" max="2626" width="21.6640625" style="114" customWidth="1"/>
    <col min="2627" max="2627" width="16" style="114" customWidth="1"/>
    <col min="2628" max="2628" width="18.44140625" style="114" customWidth="1"/>
    <col min="2629" max="2629" width="21.6640625" style="114" customWidth="1"/>
    <col min="2630" max="2630" width="13.33203125" style="114" customWidth="1"/>
    <col min="2631" max="2631" width="28.33203125" style="114" customWidth="1"/>
    <col min="2632" max="2632" width="4.6640625" style="114" customWidth="1"/>
    <col min="2633" max="2633" width="7.6640625" style="114" bestFit="1" customWidth="1"/>
    <col min="2634" max="2634" width="45.6640625" style="114" customWidth="1"/>
    <col min="2635" max="2635" width="16.44140625" style="114" customWidth="1"/>
    <col min="2636" max="2636" width="22.109375" style="114" customWidth="1"/>
    <col min="2637" max="2637" width="20.109375" style="114" customWidth="1"/>
    <col min="2638" max="2638" width="21.6640625" style="114" customWidth="1"/>
    <col min="2639" max="2639" width="16" style="114" customWidth="1"/>
    <col min="2640" max="2640" width="18.44140625" style="114" customWidth="1"/>
    <col min="2641" max="2641" width="21.6640625" style="114" customWidth="1"/>
    <col min="2642" max="2642" width="13.33203125" style="114" customWidth="1"/>
    <col min="2643" max="2643" width="28.33203125" style="114" customWidth="1"/>
    <col min="2644" max="2667" width="0" style="114" hidden="1" customWidth="1"/>
    <col min="2668" max="2670" width="8.6640625" style="114"/>
    <col min="2671" max="2671" width="21" style="114" customWidth="1"/>
    <col min="2672" max="2760" width="8.6640625" style="114"/>
    <col min="2761" max="2761" width="30.88671875" style="114" customWidth="1"/>
    <col min="2762" max="2762" width="17.33203125" style="114" customWidth="1"/>
    <col min="2763" max="2764" width="0" style="114" hidden="1" customWidth="1"/>
    <col min="2765" max="2765" width="36.33203125" style="114" customWidth="1"/>
    <col min="2766" max="2777" width="7.33203125" style="114" customWidth="1"/>
    <col min="2778" max="2778" width="7.6640625" style="114" customWidth="1"/>
    <col min="2779" max="2787" width="7.33203125" style="114" customWidth="1"/>
    <col min="2788" max="2788" width="8.109375" style="114" customWidth="1"/>
    <col min="2789" max="2812" width="7.33203125" style="114" customWidth="1"/>
    <col min="2813" max="2861" width="0" style="114" hidden="1" customWidth="1"/>
    <col min="2862" max="2862" width="13.33203125" style="114" customWidth="1"/>
    <col min="2863" max="2864" width="8.6640625" style="114"/>
    <col min="2865" max="2875" width="0" style="114" hidden="1" customWidth="1"/>
    <col min="2876" max="2876" width="8.6640625" style="114"/>
    <col min="2877" max="2877" width="7.6640625" style="114" bestFit="1" customWidth="1"/>
    <col min="2878" max="2878" width="45.6640625" style="114" customWidth="1"/>
    <col min="2879" max="2879" width="16.44140625" style="114" customWidth="1"/>
    <col min="2880" max="2880" width="22.109375" style="114" customWidth="1"/>
    <col min="2881" max="2881" width="20.109375" style="114" customWidth="1"/>
    <col min="2882" max="2882" width="21.6640625" style="114" customWidth="1"/>
    <col min="2883" max="2883" width="16" style="114" customWidth="1"/>
    <col min="2884" max="2884" width="18.44140625" style="114" customWidth="1"/>
    <col min="2885" max="2885" width="21.6640625" style="114" customWidth="1"/>
    <col min="2886" max="2886" width="13.33203125" style="114" customWidth="1"/>
    <col min="2887" max="2887" width="28.33203125" style="114" customWidth="1"/>
    <col min="2888" max="2888" width="4.6640625" style="114" customWidth="1"/>
    <col min="2889" max="2889" width="7.6640625" style="114" bestFit="1" customWidth="1"/>
    <col min="2890" max="2890" width="45.6640625" style="114" customWidth="1"/>
    <col min="2891" max="2891" width="16.44140625" style="114" customWidth="1"/>
    <col min="2892" max="2892" width="22.109375" style="114" customWidth="1"/>
    <col min="2893" max="2893" width="20.109375" style="114" customWidth="1"/>
    <col min="2894" max="2894" width="21.6640625" style="114" customWidth="1"/>
    <col min="2895" max="2895" width="16" style="114" customWidth="1"/>
    <col min="2896" max="2896" width="18.44140625" style="114" customWidth="1"/>
    <col min="2897" max="2897" width="21.6640625" style="114" customWidth="1"/>
    <col min="2898" max="2898" width="13.33203125" style="114" customWidth="1"/>
    <col min="2899" max="2899" width="28.33203125" style="114" customWidth="1"/>
    <col min="2900" max="2923" width="0" style="114" hidden="1" customWidth="1"/>
    <col min="2924" max="2926" width="8.6640625" style="114"/>
    <col min="2927" max="2927" width="21" style="114" customWidth="1"/>
    <col min="2928" max="3016" width="8.6640625" style="114"/>
    <col min="3017" max="3017" width="30.88671875" style="114" customWidth="1"/>
    <col min="3018" max="3018" width="17.33203125" style="114" customWidth="1"/>
    <col min="3019" max="3020" width="0" style="114" hidden="1" customWidth="1"/>
    <col min="3021" max="3021" width="36.33203125" style="114" customWidth="1"/>
    <col min="3022" max="3033" width="7.33203125" style="114" customWidth="1"/>
    <col min="3034" max="3034" width="7.6640625" style="114" customWidth="1"/>
    <col min="3035" max="3043" width="7.33203125" style="114" customWidth="1"/>
    <col min="3044" max="3044" width="8.109375" style="114" customWidth="1"/>
    <col min="3045" max="3068" width="7.33203125" style="114" customWidth="1"/>
    <col min="3069" max="3117" width="0" style="114" hidden="1" customWidth="1"/>
    <col min="3118" max="3118" width="13.33203125" style="114" customWidth="1"/>
    <col min="3119" max="3120" width="8.6640625" style="114"/>
    <col min="3121" max="3131" width="0" style="114" hidden="1" customWidth="1"/>
    <col min="3132" max="3132" width="8.6640625" style="114"/>
    <col min="3133" max="3133" width="7.6640625" style="114" bestFit="1" customWidth="1"/>
    <col min="3134" max="3134" width="45.6640625" style="114" customWidth="1"/>
    <col min="3135" max="3135" width="16.44140625" style="114" customWidth="1"/>
    <col min="3136" max="3136" width="22.109375" style="114" customWidth="1"/>
    <col min="3137" max="3137" width="20.109375" style="114" customWidth="1"/>
    <col min="3138" max="3138" width="21.6640625" style="114" customWidth="1"/>
    <col min="3139" max="3139" width="16" style="114" customWidth="1"/>
    <col min="3140" max="3140" width="18.44140625" style="114" customWidth="1"/>
    <col min="3141" max="3141" width="21.6640625" style="114" customWidth="1"/>
    <col min="3142" max="3142" width="13.33203125" style="114" customWidth="1"/>
    <col min="3143" max="3143" width="28.33203125" style="114" customWidth="1"/>
    <col min="3144" max="3144" width="4.6640625" style="114" customWidth="1"/>
    <col min="3145" max="3145" width="7.6640625" style="114" bestFit="1" customWidth="1"/>
    <col min="3146" max="3146" width="45.6640625" style="114" customWidth="1"/>
    <col min="3147" max="3147" width="16.44140625" style="114" customWidth="1"/>
    <col min="3148" max="3148" width="22.109375" style="114" customWidth="1"/>
    <col min="3149" max="3149" width="20.109375" style="114" customWidth="1"/>
    <col min="3150" max="3150" width="21.6640625" style="114" customWidth="1"/>
    <col min="3151" max="3151" width="16" style="114" customWidth="1"/>
    <col min="3152" max="3152" width="18.44140625" style="114" customWidth="1"/>
    <col min="3153" max="3153" width="21.6640625" style="114" customWidth="1"/>
    <col min="3154" max="3154" width="13.33203125" style="114" customWidth="1"/>
    <col min="3155" max="3155" width="28.33203125" style="114" customWidth="1"/>
    <col min="3156" max="3179" width="0" style="114" hidden="1" customWidth="1"/>
    <col min="3180" max="3182" width="8.6640625" style="114"/>
    <col min="3183" max="3183" width="21" style="114" customWidth="1"/>
    <col min="3184" max="3272" width="8.6640625" style="114"/>
    <col min="3273" max="3273" width="30.88671875" style="114" customWidth="1"/>
    <col min="3274" max="3274" width="17.33203125" style="114" customWidth="1"/>
    <col min="3275" max="3276" width="0" style="114" hidden="1" customWidth="1"/>
    <col min="3277" max="3277" width="36.33203125" style="114" customWidth="1"/>
    <col min="3278" max="3289" width="7.33203125" style="114" customWidth="1"/>
    <col min="3290" max="3290" width="7.6640625" style="114" customWidth="1"/>
    <col min="3291" max="3299" width="7.33203125" style="114" customWidth="1"/>
    <col min="3300" max="3300" width="8.109375" style="114" customWidth="1"/>
    <col min="3301" max="3324" width="7.33203125" style="114" customWidth="1"/>
    <col min="3325" max="3373" width="0" style="114" hidden="1" customWidth="1"/>
    <col min="3374" max="3374" width="13.33203125" style="114" customWidth="1"/>
    <col min="3375" max="3376" width="8.6640625" style="114"/>
    <col min="3377" max="3387" width="0" style="114" hidden="1" customWidth="1"/>
    <col min="3388" max="3388" width="8.6640625" style="114"/>
    <col min="3389" max="3389" width="7.6640625" style="114" bestFit="1" customWidth="1"/>
    <col min="3390" max="3390" width="45.6640625" style="114" customWidth="1"/>
    <col min="3391" max="3391" width="16.44140625" style="114" customWidth="1"/>
    <col min="3392" max="3392" width="22.109375" style="114" customWidth="1"/>
    <col min="3393" max="3393" width="20.109375" style="114" customWidth="1"/>
    <col min="3394" max="3394" width="21.6640625" style="114" customWidth="1"/>
    <col min="3395" max="3395" width="16" style="114" customWidth="1"/>
    <col min="3396" max="3396" width="18.44140625" style="114" customWidth="1"/>
    <col min="3397" max="3397" width="21.6640625" style="114" customWidth="1"/>
    <col min="3398" max="3398" width="13.33203125" style="114" customWidth="1"/>
    <col min="3399" max="3399" width="28.33203125" style="114" customWidth="1"/>
    <col min="3400" max="3400" width="4.6640625" style="114" customWidth="1"/>
    <col min="3401" max="3401" width="7.6640625" style="114" bestFit="1" customWidth="1"/>
    <col min="3402" max="3402" width="45.6640625" style="114" customWidth="1"/>
    <col min="3403" max="3403" width="16.44140625" style="114" customWidth="1"/>
    <col min="3404" max="3404" width="22.109375" style="114" customWidth="1"/>
    <col min="3405" max="3405" width="20.109375" style="114" customWidth="1"/>
    <col min="3406" max="3406" width="21.6640625" style="114" customWidth="1"/>
    <col min="3407" max="3407" width="16" style="114" customWidth="1"/>
    <col min="3408" max="3408" width="18.44140625" style="114" customWidth="1"/>
    <col min="3409" max="3409" width="21.6640625" style="114" customWidth="1"/>
    <col min="3410" max="3410" width="13.33203125" style="114" customWidth="1"/>
    <col min="3411" max="3411" width="28.33203125" style="114" customWidth="1"/>
    <col min="3412" max="3435" width="0" style="114" hidden="1" customWidth="1"/>
    <col min="3436" max="3438" width="8.6640625" style="114"/>
    <col min="3439" max="3439" width="21" style="114" customWidth="1"/>
    <col min="3440" max="3528" width="8.6640625" style="114"/>
    <col min="3529" max="3529" width="30.88671875" style="114" customWidth="1"/>
    <col min="3530" max="3530" width="17.33203125" style="114" customWidth="1"/>
    <col min="3531" max="3532" width="0" style="114" hidden="1" customWidth="1"/>
    <col min="3533" max="3533" width="36.33203125" style="114" customWidth="1"/>
    <col min="3534" max="3545" width="7.33203125" style="114" customWidth="1"/>
    <col min="3546" max="3546" width="7.6640625" style="114" customWidth="1"/>
    <col min="3547" max="3555" width="7.33203125" style="114" customWidth="1"/>
    <col min="3556" max="3556" width="8.109375" style="114" customWidth="1"/>
    <col min="3557" max="3580" width="7.33203125" style="114" customWidth="1"/>
    <col min="3581" max="3629" width="0" style="114" hidden="1" customWidth="1"/>
    <col min="3630" max="3630" width="13.33203125" style="114" customWidth="1"/>
    <col min="3631" max="3632" width="8.6640625" style="114"/>
    <col min="3633" max="3643" width="0" style="114" hidden="1" customWidth="1"/>
    <col min="3644" max="3644" width="8.6640625" style="114"/>
    <col min="3645" max="3645" width="7.6640625" style="114" bestFit="1" customWidth="1"/>
    <col min="3646" max="3646" width="45.6640625" style="114" customWidth="1"/>
    <col min="3647" max="3647" width="16.44140625" style="114" customWidth="1"/>
    <col min="3648" max="3648" width="22.109375" style="114" customWidth="1"/>
    <col min="3649" max="3649" width="20.109375" style="114" customWidth="1"/>
    <col min="3650" max="3650" width="21.6640625" style="114" customWidth="1"/>
    <col min="3651" max="3651" width="16" style="114" customWidth="1"/>
    <col min="3652" max="3652" width="18.44140625" style="114" customWidth="1"/>
    <col min="3653" max="3653" width="21.6640625" style="114" customWidth="1"/>
    <col min="3654" max="3654" width="13.33203125" style="114" customWidth="1"/>
    <col min="3655" max="3655" width="28.33203125" style="114" customWidth="1"/>
    <col min="3656" max="3656" width="4.6640625" style="114" customWidth="1"/>
    <col min="3657" max="3657" width="7.6640625" style="114" bestFit="1" customWidth="1"/>
    <col min="3658" max="3658" width="45.6640625" style="114" customWidth="1"/>
    <col min="3659" max="3659" width="16.44140625" style="114" customWidth="1"/>
    <col min="3660" max="3660" width="22.109375" style="114" customWidth="1"/>
    <col min="3661" max="3661" width="20.109375" style="114" customWidth="1"/>
    <col min="3662" max="3662" width="21.6640625" style="114" customWidth="1"/>
    <col min="3663" max="3663" width="16" style="114" customWidth="1"/>
    <col min="3664" max="3664" width="18.44140625" style="114" customWidth="1"/>
    <col min="3665" max="3665" width="21.6640625" style="114" customWidth="1"/>
    <col min="3666" max="3666" width="13.33203125" style="114" customWidth="1"/>
    <col min="3667" max="3667" width="28.33203125" style="114" customWidth="1"/>
    <col min="3668" max="3691" width="0" style="114" hidden="1" customWidth="1"/>
    <col min="3692" max="3694" width="8.6640625" style="114"/>
    <col min="3695" max="3695" width="21" style="114" customWidth="1"/>
    <col min="3696" max="3784" width="8.6640625" style="114"/>
    <col min="3785" max="3785" width="30.88671875" style="114" customWidth="1"/>
    <col min="3786" max="3786" width="17.33203125" style="114" customWidth="1"/>
    <col min="3787" max="3788" width="0" style="114" hidden="1" customWidth="1"/>
    <col min="3789" max="3789" width="36.33203125" style="114" customWidth="1"/>
    <col min="3790" max="3801" width="7.33203125" style="114" customWidth="1"/>
    <col min="3802" max="3802" width="7.6640625" style="114" customWidth="1"/>
    <col min="3803" max="3811" width="7.33203125" style="114" customWidth="1"/>
    <col min="3812" max="3812" width="8.109375" style="114" customWidth="1"/>
    <col min="3813" max="3836" width="7.33203125" style="114" customWidth="1"/>
    <col min="3837" max="3885" width="0" style="114" hidden="1" customWidth="1"/>
    <col min="3886" max="3886" width="13.33203125" style="114" customWidth="1"/>
    <col min="3887" max="3888" width="8.6640625" style="114"/>
    <col min="3889" max="3899" width="0" style="114" hidden="1" customWidth="1"/>
    <col min="3900" max="3900" width="8.6640625" style="114"/>
    <col min="3901" max="3901" width="7.6640625" style="114" bestFit="1" customWidth="1"/>
    <col min="3902" max="3902" width="45.6640625" style="114" customWidth="1"/>
    <col min="3903" max="3903" width="16.44140625" style="114" customWidth="1"/>
    <col min="3904" max="3904" width="22.109375" style="114" customWidth="1"/>
    <col min="3905" max="3905" width="20.109375" style="114" customWidth="1"/>
    <col min="3906" max="3906" width="21.6640625" style="114" customWidth="1"/>
    <col min="3907" max="3907" width="16" style="114" customWidth="1"/>
    <col min="3908" max="3908" width="18.44140625" style="114" customWidth="1"/>
    <col min="3909" max="3909" width="21.6640625" style="114" customWidth="1"/>
    <col min="3910" max="3910" width="13.33203125" style="114" customWidth="1"/>
    <col min="3911" max="3911" width="28.33203125" style="114" customWidth="1"/>
    <col min="3912" max="3912" width="4.6640625" style="114" customWidth="1"/>
    <col min="3913" max="3913" width="7.6640625" style="114" bestFit="1" customWidth="1"/>
    <col min="3914" max="3914" width="45.6640625" style="114" customWidth="1"/>
    <col min="3915" max="3915" width="16.44140625" style="114" customWidth="1"/>
    <col min="3916" max="3916" width="22.109375" style="114" customWidth="1"/>
    <col min="3917" max="3917" width="20.109375" style="114" customWidth="1"/>
    <col min="3918" max="3918" width="21.6640625" style="114" customWidth="1"/>
    <col min="3919" max="3919" width="16" style="114" customWidth="1"/>
    <col min="3920" max="3920" width="18.44140625" style="114" customWidth="1"/>
    <col min="3921" max="3921" width="21.6640625" style="114" customWidth="1"/>
    <col min="3922" max="3922" width="13.33203125" style="114" customWidth="1"/>
    <col min="3923" max="3923" width="28.33203125" style="114" customWidth="1"/>
    <col min="3924" max="3947" width="0" style="114" hidden="1" customWidth="1"/>
    <col min="3948" max="3950" width="8.6640625" style="114"/>
    <col min="3951" max="3951" width="21" style="114" customWidth="1"/>
    <col min="3952" max="4040" width="8.6640625" style="114"/>
    <col min="4041" max="4041" width="30.88671875" style="114" customWidth="1"/>
    <col min="4042" max="4042" width="17.33203125" style="114" customWidth="1"/>
    <col min="4043" max="4044" width="0" style="114" hidden="1" customWidth="1"/>
    <col min="4045" max="4045" width="36.33203125" style="114" customWidth="1"/>
    <col min="4046" max="4057" width="7.33203125" style="114" customWidth="1"/>
    <col min="4058" max="4058" width="7.6640625" style="114" customWidth="1"/>
    <col min="4059" max="4067" width="7.33203125" style="114" customWidth="1"/>
    <col min="4068" max="4068" width="8.109375" style="114" customWidth="1"/>
    <col min="4069" max="4092" width="7.33203125" style="114" customWidth="1"/>
    <col min="4093" max="4141" width="0" style="114" hidden="1" customWidth="1"/>
    <col min="4142" max="4142" width="13.33203125" style="114" customWidth="1"/>
    <col min="4143" max="4144" width="8.6640625" style="114"/>
    <col min="4145" max="4155" width="0" style="114" hidden="1" customWidth="1"/>
    <col min="4156" max="4156" width="8.6640625" style="114"/>
    <col min="4157" max="4157" width="7.6640625" style="114" bestFit="1" customWidth="1"/>
    <col min="4158" max="4158" width="45.6640625" style="114" customWidth="1"/>
    <col min="4159" max="4159" width="16.44140625" style="114" customWidth="1"/>
    <col min="4160" max="4160" width="22.109375" style="114" customWidth="1"/>
    <col min="4161" max="4161" width="20.109375" style="114" customWidth="1"/>
    <col min="4162" max="4162" width="21.6640625" style="114" customWidth="1"/>
    <col min="4163" max="4163" width="16" style="114" customWidth="1"/>
    <col min="4164" max="4164" width="18.44140625" style="114" customWidth="1"/>
    <col min="4165" max="4165" width="21.6640625" style="114" customWidth="1"/>
    <col min="4166" max="4166" width="13.33203125" style="114" customWidth="1"/>
    <col min="4167" max="4167" width="28.33203125" style="114" customWidth="1"/>
    <col min="4168" max="4168" width="4.6640625" style="114" customWidth="1"/>
    <col min="4169" max="4169" width="7.6640625" style="114" bestFit="1" customWidth="1"/>
    <col min="4170" max="4170" width="45.6640625" style="114" customWidth="1"/>
    <col min="4171" max="4171" width="16.44140625" style="114" customWidth="1"/>
    <col min="4172" max="4172" width="22.109375" style="114" customWidth="1"/>
    <col min="4173" max="4173" width="20.109375" style="114" customWidth="1"/>
    <col min="4174" max="4174" width="21.6640625" style="114" customWidth="1"/>
    <col min="4175" max="4175" width="16" style="114" customWidth="1"/>
    <col min="4176" max="4176" width="18.44140625" style="114" customWidth="1"/>
    <col min="4177" max="4177" width="21.6640625" style="114" customWidth="1"/>
    <col min="4178" max="4178" width="13.33203125" style="114" customWidth="1"/>
    <col min="4179" max="4179" width="28.33203125" style="114" customWidth="1"/>
    <col min="4180" max="4203" width="0" style="114" hidden="1" customWidth="1"/>
    <col min="4204" max="4206" width="8.6640625" style="114"/>
    <col min="4207" max="4207" width="21" style="114" customWidth="1"/>
    <col min="4208" max="4296" width="8.6640625" style="114"/>
    <col min="4297" max="4297" width="30.88671875" style="114" customWidth="1"/>
    <col min="4298" max="4298" width="17.33203125" style="114" customWidth="1"/>
    <col min="4299" max="4300" width="0" style="114" hidden="1" customWidth="1"/>
    <col min="4301" max="4301" width="36.33203125" style="114" customWidth="1"/>
    <col min="4302" max="4313" width="7.33203125" style="114" customWidth="1"/>
    <col min="4314" max="4314" width="7.6640625" style="114" customWidth="1"/>
    <col min="4315" max="4323" width="7.33203125" style="114" customWidth="1"/>
    <col min="4324" max="4324" width="8.109375" style="114" customWidth="1"/>
    <col min="4325" max="4348" width="7.33203125" style="114" customWidth="1"/>
    <col min="4349" max="4397" width="0" style="114" hidden="1" customWidth="1"/>
    <col min="4398" max="4398" width="13.33203125" style="114" customWidth="1"/>
    <col min="4399" max="4400" width="8.6640625" style="114"/>
    <col min="4401" max="4411" width="0" style="114" hidden="1" customWidth="1"/>
    <col min="4412" max="4412" width="8.6640625" style="114"/>
    <col min="4413" max="4413" width="7.6640625" style="114" bestFit="1" customWidth="1"/>
    <col min="4414" max="4414" width="45.6640625" style="114" customWidth="1"/>
    <col min="4415" max="4415" width="16.44140625" style="114" customWidth="1"/>
    <col min="4416" max="4416" width="22.109375" style="114" customWidth="1"/>
    <col min="4417" max="4417" width="20.109375" style="114" customWidth="1"/>
    <col min="4418" max="4418" width="21.6640625" style="114" customWidth="1"/>
    <col min="4419" max="4419" width="16" style="114" customWidth="1"/>
    <col min="4420" max="4420" width="18.44140625" style="114" customWidth="1"/>
    <col min="4421" max="4421" width="21.6640625" style="114" customWidth="1"/>
    <col min="4422" max="4422" width="13.33203125" style="114" customWidth="1"/>
    <col min="4423" max="4423" width="28.33203125" style="114" customWidth="1"/>
    <col min="4424" max="4424" width="4.6640625" style="114" customWidth="1"/>
    <col min="4425" max="4425" width="7.6640625" style="114" bestFit="1" customWidth="1"/>
    <col min="4426" max="4426" width="45.6640625" style="114" customWidth="1"/>
    <col min="4427" max="4427" width="16.44140625" style="114" customWidth="1"/>
    <col min="4428" max="4428" width="22.109375" style="114" customWidth="1"/>
    <col min="4429" max="4429" width="20.109375" style="114" customWidth="1"/>
    <col min="4430" max="4430" width="21.6640625" style="114" customWidth="1"/>
    <col min="4431" max="4431" width="16" style="114" customWidth="1"/>
    <col min="4432" max="4432" width="18.44140625" style="114" customWidth="1"/>
    <col min="4433" max="4433" width="21.6640625" style="114" customWidth="1"/>
    <col min="4434" max="4434" width="13.33203125" style="114" customWidth="1"/>
    <col min="4435" max="4435" width="28.33203125" style="114" customWidth="1"/>
    <col min="4436" max="4459" width="0" style="114" hidden="1" customWidth="1"/>
    <col min="4460" max="4462" width="8.6640625" style="114"/>
    <col min="4463" max="4463" width="21" style="114" customWidth="1"/>
    <col min="4464" max="4552" width="8.6640625" style="114"/>
    <col min="4553" max="4553" width="30.88671875" style="114" customWidth="1"/>
    <col min="4554" max="4554" width="17.33203125" style="114" customWidth="1"/>
    <col min="4555" max="4556" width="0" style="114" hidden="1" customWidth="1"/>
    <col min="4557" max="4557" width="36.33203125" style="114" customWidth="1"/>
    <col min="4558" max="4569" width="7.33203125" style="114" customWidth="1"/>
    <col min="4570" max="4570" width="7.6640625" style="114" customWidth="1"/>
    <col min="4571" max="4579" width="7.33203125" style="114" customWidth="1"/>
    <col min="4580" max="4580" width="8.109375" style="114" customWidth="1"/>
    <col min="4581" max="4604" width="7.33203125" style="114" customWidth="1"/>
    <col min="4605" max="4653" width="0" style="114" hidden="1" customWidth="1"/>
    <col min="4654" max="4654" width="13.33203125" style="114" customWidth="1"/>
    <col min="4655" max="4656" width="8.6640625" style="114"/>
    <col min="4657" max="4667" width="0" style="114" hidden="1" customWidth="1"/>
    <col min="4668" max="4668" width="8.6640625" style="114"/>
    <col min="4669" max="4669" width="7.6640625" style="114" bestFit="1" customWidth="1"/>
    <col min="4670" max="4670" width="45.6640625" style="114" customWidth="1"/>
    <col min="4671" max="4671" width="16.44140625" style="114" customWidth="1"/>
    <col min="4672" max="4672" width="22.109375" style="114" customWidth="1"/>
    <col min="4673" max="4673" width="20.109375" style="114" customWidth="1"/>
    <col min="4674" max="4674" width="21.6640625" style="114" customWidth="1"/>
    <col min="4675" max="4675" width="16" style="114" customWidth="1"/>
    <col min="4676" max="4676" width="18.44140625" style="114" customWidth="1"/>
    <col min="4677" max="4677" width="21.6640625" style="114" customWidth="1"/>
    <col min="4678" max="4678" width="13.33203125" style="114" customWidth="1"/>
    <col min="4679" max="4679" width="28.33203125" style="114" customWidth="1"/>
    <col min="4680" max="4680" width="4.6640625" style="114" customWidth="1"/>
    <col min="4681" max="4681" width="7.6640625" style="114" bestFit="1" customWidth="1"/>
    <col min="4682" max="4682" width="45.6640625" style="114" customWidth="1"/>
    <col min="4683" max="4683" width="16.44140625" style="114" customWidth="1"/>
    <col min="4684" max="4684" width="22.109375" style="114" customWidth="1"/>
    <col min="4685" max="4685" width="20.109375" style="114" customWidth="1"/>
    <col min="4686" max="4686" width="21.6640625" style="114" customWidth="1"/>
    <col min="4687" max="4687" width="16" style="114" customWidth="1"/>
    <col min="4688" max="4688" width="18.44140625" style="114" customWidth="1"/>
    <col min="4689" max="4689" width="21.6640625" style="114" customWidth="1"/>
    <col min="4690" max="4690" width="13.33203125" style="114" customWidth="1"/>
    <col min="4691" max="4691" width="28.33203125" style="114" customWidth="1"/>
    <col min="4692" max="4715" width="0" style="114" hidden="1" customWidth="1"/>
    <col min="4716" max="4718" width="8.6640625" style="114"/>
    <col min="4719" max="4719" width="21" style="114" customWidth="1"/>
    <col min="4720" max="4808" width="8.6640625" style="114"/>
    <col min="4809" max="4809" width="30.88671875" style="114" customWidth="1"/>
    <col min="4810" max="4810" width="17.33203125" style="114" customWidth="1"/>
    <col min="4811" max="4812" width="0" style="114" hidden="1" customWidth="1"/>
    <col min="4813" max="4813" width="36.33203125" style="114" customWidth="1"/>
    <col min="4814" max="4825" width="7.33203125" style="114" customWidth="1"/>
    <col min="4826" max="4826" width="7.6640625" style="114" customWidth="1"/>
    <col min="4827" max="4835" width="7.33203125" style="114" customWidth="1"/>
    <col min="4836" max="4836" width="8.109375" style="114" customWidth="1"/>
    <col min="4837" max="4860" width="7.33203125" style="114" customWidth="1"/>
    <col min="4861" max="4909" width="0" style="114" hidden="1" customWidth="1"/>
    <col min="4910" max="4910" width="13.33203125" style="114" customWidth="1"/>
    <col min="4911" max="4912" width="8.6640625" style="114"/>
    <col min="4913" max="4923" width="0" style="114" hidden="1" customWidth="1"/>
    <col min="4924" max="4924" width="8.6640625" style="114"/>
    <col min="4925" max="4925" width="7.6640625" style="114" bestFit="1" customWidth="1"/>
    <col min="4926" max="4926" width="45.6640625" style="114" customWidth="1"/>
    <col min="4927" max="4927" width="16.44140625" style="114" customWidth="1"/>
    <col min="4928" max="4928" width="22.109375" style="114" customWidth="1"/>
    <col min="4929" max="4929" width="20.109375" style="114" customWidth="1"/>
    <col min="4930" max="4930" width="21.6640625" style="114" customWidth="1"/>
    <col min="4931" max="4931" width="16" style="114" customWidth="1"/>
    <col min="4932" max="4932" width="18.44140625" style="114" customWidth="1"/>
    <col min="4933" max="4933" width="21.6640625" style="114" customWidth="1"/>
    <col min="4934" max="4934" width="13.33203125" style="114" customWidth="1"/>
    <col min="4935" max="4935" width="28.33203125" style="114" customWidth="1"/>
    <col min="4936" max="4936" width="4.6640625" style="114" customWidth="1"/>
    <col min="4937" max="4937" width="7.6640625" style="114" bestFit="1" customWidth="1"/>
    <col min="4938" max="4938" width="45.6640625" style="114" customWidth="1"/>
    <col min="4939" max="4939" width="16.44140625" style="114" customWidth="1"/>
    <col min="4940" max="4940" width="22.109375" style="114" customWidth="1"/>
    <col min="4941" max="4941" width="20.109375" style="114" customWidth="1"/>
    <col min="4942" max="4942" width="21.6640625" style="114" customWidth="1"/>
    <col min="4943" max="4943" width="16" style="114" customWidth="1"/>
    <col min="4944" max="4944" width="18.44140625" style="114" customWidth="1"/>
    <col min="4945" max="4945" width="21.6640625" style="114" customWidth="1"/>
    <col min="4946" max="4946" width="13.33203125" style="114" customWidth="1"/>
    <col min="4947" max="4947" width="28.33203125" style="114" customWidth="1"/>
    <col min="4948" max="4971" width="0" style="114" hidden="1" customWidth="1"/>
    <col min="4972" max="4974" width="8.6640625" style="114"/>
    <col min="4975" max="4975" width="21" style="114" customWidth="1"/>
    <col min="4976" max="5064" width="8.6640625" style="114"/>
    <col min="5065" max="5065" width="30.88671875" style="114" customWidth="1"/>
    <col min="5066" max="5066" width="17.33203125" style="114" customWidth="1"/>
    <col min="5067" max="5068" width="0" style="114" hidden="1" customWidth="1"/>
    <col min="5069" max="5069" width="36.33203125" style="114" customWidth="1"/>
    <col min="5070" max="5081" width="7.33203125" style="114" customWidth="1"/>
    <col min="5082" max="5082" width="7.6640625" style="114" customWidth="1"/>
    <col min="5083" max="5091" width="7.33203125" style="114" customWidth="1"/>
    <col min="5092" max="5092" width="8.109375" style="114" customWidth="1"/>
    <col min="5093" max="5116" width="7.33203125" style="114" customWidth="1"/>
    <col min="5117" max="5165" width="0" style="114" hidden="1" customWidth="1"/>
    <col min="5166" max="5166" width="13.33203125" style="114" customWidth="1"/>
    <col min="5167" max="5168" width="8.6640625" style="114"/>
    <col min="5169" max="5179" width="0" style="114" hidden="1" customWidth="1"/>
    <col min="5180" max="5180" width="8.6640625" style="114"/>
    <col min="5181" max="5181" width="7.6640625" style="114" bestFit="1" customWidth="1"/>
    <col min="5182" max="5182" width="45.6640625" style="114" customWidth="1"/>
    <col min="5183" max="5183" width="16.44140625" style="114" customWidth="1"/>
    <col min="5184" max="5184" width="22.109375" style="114" customWidth="1"/>
    <col min="5185" max="5185" width="20.109375" style="114" customWidth="1"/>
    <col min="5186" max="5186" width="21.6640625" style="114" customWidth="1"/>
    <col min="5187" max="5187" width="16" style="114" customWidth="1"/>
    <col min="5188" max="5188" width="18.44140625" style="114" customWidth="1"/>
    <col min="5189" max="5189" width="21.6640625" style="114" customWidth="1"/>
    <col min="5190" max="5190" width="13.33203125" style="114" customWidth="1"/>
    <col min="5191" max="5191" width="28.33203125" style="114" customWidth="1"/>
    <col min="5192" max="5192" width="4.6640625" style="114" customWidth="1"/>
    <col min="5193" max="5193" width="7.6640625" style="114" bestFit="1" customWidth="1"/>
    <col min="5194" max="5194" width="45.6640625" style="114" customWidth="1"/>
    <col min="5195" max="5195" width="16.44140625" style="114" customWidth="1"/>
    <col min="5196" max="5196" width="22.109375" style="114" customWidth="1"/>
    <col min="5197" max="5197" width="20.109375" style="114" customWidth="1"/>
    <col min="5198" max="5198" width="21.6640625" style="114" customWidth="1"/>
    <col min="5199" max="5199" width="16" style="114" customWidth="1"/>
    <col min="5200" max="5200" width="18.44140625" style="114" customWidth="1"/>
    <col min="5201" max="5201" width="21.6640625" style="114" customWidth="1"/>
    <col min="5202" max="5202" width="13.33203125" style="114" customWidth="1"/>
    <col min="5203" max="5203" width="28.33203125" style="114" customWidth="1"/>
    <col min="5204" max="5227" width="0" style="114" hidden="1" customWidth="1"/>
    <col min="5228" max="5230" width="8.6640625" style="114"/>
    <col min="5231" max="5231" width="21" style="114" customWidth="1"/>
    <col min="5232" max="5320" width="8.6640625" style="114"/>
    <col min="5321" max="5321" width="30.88671875" style="114" customWidth="1"/>
    <col min="5322" max="5322" width="17.33203125" style="114" customWidth="1"/>
    <col min="5323" max="5324" width="0" style="114" hidden="1" customWidth="1"/>
    <col min="5325" max="5325" width="36.33203125" style="114" customWidth="1"/>
    <col min="5326" max="5337" width="7.33203125" style="114" customWidth="1"/>
    <col min="5338" max="5338" width="7.6640625" style="114" customWidth="1"/>
    <col min="5339" max="5347" width="7.33203125" style="114" customWidth="1"/>
    <col min="5348" max="5348" width="8.109375" style="114" customWidth="1"/>
    <col min="5349" max="5372" width="7.33203125" style="114" customWidth="1"/>
    <col min="5373" max="5421" width="0" style="114" hidden="1" customWidth="1"/>
    <col min="5422" max="5422" width="13.33203125" style="114" customWidth="1"/>
    <col min="5423" max="5424" width="8.6640625" style="114"/>
    <col min="5425" max="5435" width="0" style="114" hidden="1" customWidth="1"/>
    <col min="5436" max="5436" width="8.6640625" style="114"/>
    <col min="5437" max="5437" width="7.6640625" style="114" bestFit="1" customWidth="1"/>
    <col min="5438" max="5438" width="45.6640625" style="114" customWidth="1"/>
    <col min="5439" max="5439" width="16.44140625" style="114" customWidth="1"/>
    <col min="5440" max="5440" width="22.109375" style="114" customWidth="1"/>
    <col min="5441" max="5441" width="20.109375" style="114" customWidth="1"/>
    <col min="5442" max="5442" width="21.6640625" style="114" customWidth="1"/>
    <col min="5443" max="5443" width="16" style="114" customWidth="1"/>
    <col min="5444" max="5444" width="18.44140625" style="114" customWidth="1"/>
    <col min="5445" max="5445" width="21.6640625" style="114" customWidth="1"/>
    <col min="5446" max="5446" width="13.33203125" style="114" customWidth="1"/>
    <col min="5447" max="5447" width="28.33203125" style="114" customWidth="1"/>
    <col min="5448" max="5448" width="4.6640625" style="114" customWidth="1"/>
    <col min="5449" max="5449" width="7.6640625" style="114" bestFit="1" customWidth="1"/>
    <col min="5450" max="5450" width="45.6640625" style="114" customWidth="1"/>
    <col min="5451" max="5451" width="16.44140625" style="114" customWidth="1"/>
    <col min="5452" max="5452" width="22.109375" style="114" customWidth="1"/>
    <col min="5453" max="5453" width="20.109375" style="114" customWidth="1"/>
    <col min="5454" max="5454" width="21.6640625" style="114" customWidth="1"/>
    <col min="5455" max="5455" width="16" style="114" customWidth="1"/>
    <col min="5456" max="5456" width="18.44140625" style="114" customWidth="1"/>
    <col min="5457" max="5457" width="21.6640625" style="114" customWidth="1"/>
    <col min="5458" max="5458" width="13.33203125" style="114" customWidth="1"/>
    <col min="5459" max="5459" width="28.33203125" style="114" customWidth="1"/>
    <col min="5460" max="5483" width="0" style="114" hidden="1" customWidth="1"/>
    <col min="5484" max="5486" width="8.6640625" style="114"/>
    <col min="5487" max="5487" width="21" style="114" customWidth="1"/>
    <col min="5488" max="5576" width="8.6640625" style="114"/>
    <col min="5577" max="5577" width="30.88671875" style="114" customWidth="1"/>
    <col min="5578" max="5578" width="17.33203125" style="114" customWidth="1"/>
    <col min="5579" max="5580" width="0" style="114" hidden="1" customWidth="1"/>
    <col min="5581" max="5581" width="36.33203125" style="114" customWidth="1"/>
    <col min="5582" max="5593" width="7.33203125" style="114" customWidth="1"/>
    <col min="5594" max="5594" width="7.6640625" style="114" customWidth="1"/>
    <col min="5595" max="5603" width="7.33203125" style="114" customWidth="1"/>
    <col min="5604" max="5604" width="8.109375" style="114" customWidth="1"/>
    <col min="5605" max="5628" width="7.33203125" style="114" customWidth="1"/>
    <col min="5629" max="5677" width="0" style="114" hidden="1" customWidth="1"/>
    <col min="5678" max="5678" width="13.33203125" style="114" customWidth="1"/>
    <col min="5679" max="5680" width="8.6640625" style="114"/>
    <col min="5681" max="5691" width="0" style="114" hidden="1" customWidth="1"/>
    <col min="5692" max="5692" width="8.6640625" style="114"/>
    <col min="5693" max="5693" width="7.6640625" style="114" bestFit="1" customWidth="1"/>
    <col min="5694" max="5694" width="45.6640625" style="114" customWidth="1"/>
    <col min="5695" max="5695" width="16.44140625" style="114" customWidth="1"/>
    <col min="5696" max="5696" width="22.109375" style="114" customWidth="1"/>
    <col min="5697" max="5697" width="20.109375" style="114" customWidth="1"/>
    <col min="5698" max="5698" width="21.6640625" style="114" customWidth="1"/>
    <col min="5699" max="5699" width="16" style="114" customWidth="1"/>
    <col min="5700" max="5700" width="18.44140625" style="114" customWidth="1"/>
    <col min="5701" max="5701" width="21.6640625" style="114" customWidth="1"/>
    <col min="5702" max="5702" width="13.33203125" style="114" customWidth="1"/>
    <col min="5703" max="5703" width="28.33203125" style="114" customWidth="1"/>
    <col min="5704" max="5704" width="4.6640625" style="114" customWidth="1"/>
    <col min="5705" max="5705" width="7.6640625" style="114" bestFit="1" customWidth="1"/>
    <col min="5706" max="5706" width="45.6640625" style="114" customWidth="1"/>
    <col min="5707" max="5707" width="16.44140625" style="114" customWidth="1"/>
    <col min="5708" max="5708" width="22.109375" style="114" customWidth="1"/>
    <col min="5709" max="5709" width="20.109375" style="114" customWidth="1"/>
    <col min="5710" max="5710" width="21.6640625" style="114" customWidth="1"/>
    <col min="5711" max="5711" width="16" style="114" customWidth="1"/>
    <col min="5712" max="5712" width="18.44140625" style="114" customWidth="1"/>
    <col min="5713" max="5713" width="21.6640625" style="114" customWidth="1"/>
    <col min="5714" max="5714" width="13.33203125" style="114" customWidth="1"/>
    <col min="5715" max="5715" width="28.33203125" style="114" customWidth="1"/>
    <col min="5716" max="5739" width="0" style="114" hidden="1" customWidth="1"/>
    <col min="5740" max="5742" width="8.6640625" style="114"/>
    <col min="5743" max="5743" width="21" style="114" customWidth="1"/>
    <col min="5744" max="5832" width="8.6640625" style="114"/>
    <col min="5833" max="5833" width="30.88671875" style="114" customWidth="1"/>
    <col min="5834" max="5834" width="17.33203125" style="114" customWidth="1"/>
    <col min="5835" max="5836" width="0" style="114" hidden="1" customWidth="1"/>
    <col min="5837" max="5837" width="36.33203125" style="114" customWidth="1"/>
    <col min="5838" max="5849" width="7.33203125" style="114" customWidth="1"/>
    <col min="5850" max="5850" width="7.6640625" style="114" customWidth="1"/>
    <col min="5851" max="5859" width="7.33203125" style="114" customWidth="1"/>
    <col min="5860" max="5860" width="8.109375" style="114" customWidth="1"/>
    <col min="5861" max="5884" width="7.33203125" style="114" customWidth="1"/>
    <col min="5885" max="5933" width="0" style="114" hidden="1" customWidth="1"/>
    <col min="5934" max="5934" width="13.33203125" style="114" customWidth="1"/>
    <col min="5935" max="5936" width="8.6640625" style="114"/>
    <col min="5937" max="5947" width="0" style="114" hidden="1" customWidth="1"/>
    <col min="5948" max="5948" width="8.6640625" style="114"/>
    <col min="5949" max="5949" width="7.6640625" style="114" bestFit="1" customWidth="1"/>
    <col min="5950" max="5950" width="45.6640625" style="114" customWidth="1"/>
    <col min="5951" max="5951" width="16.44140625" style="114" customWidth="1"/>
    <col min="5952" max="5952" width="22.109375" style="114" customWidth="1"/>
    <col min="5953" max="5953" width="20.109375" style="114" customWidth="1"/>
    <col min="5954" max="5954" width="21.6640625" style="114" customWidth="1"/>
    <col min="5955" max="5955" width="16" style="114" customWidth="1"/>
    <col min="5956" max="5956" width="18.44140625" style="114" customWidth="1"/>
    <col min="5957" max="5957" width="21.6640625" style="114" customWidth="1"/>
    <col min="5958" max="5958" width="13.33203125" style="114" customWidth="1"/>
    <col min="5959" max="5959" width="28.33203125" style="114" customWidth="1"/>
    <col min="5960" max="5960" width="4.6640625" style="114" customWidth="1"/>
    <col min="5961" max="5961" width="7.6640625" style="114" bestFit="1" customWidth="1"/>
    <col min="5962" max="5962" width="45.6640625" style="114" customWidth="1"/>
    <col min="5963" max="5963" width="16.44140625" style="114" customWidth="1"/>
    <col min="5964" max="5964" width="22.109375" style="114" customWidth="1"/>
    <col min="5965" max="5965" width="20.109375" style="114" customWidth="1"/>
    <col min="5966" max="5966" width="21.6640625" style="114" customWidth="1"/>
    <col min="5967" max="5967" width="16" style="114" customWidth="1"/>
    <col min="5968" max="5968" width="18.44140625" style="114" customWidth="1"/>
    <col min="5969" max="5969" width="21.6640625" style="114" customWidth="1"/>
    <col min="5970" max="5970" width="13.33203125" style="114" customWidth="1"/>
    <col min="5971" max="5971" width="28.33203125" style="114" customWidth="1"/>
    <col min="5972" max="5995" width="0" style="114" hidden="1" customWidth="1"/>
    <col min="5996" max="5998" width="8.6640625" style="114"/>
    <col min="5999" max="5999" width="21" style="114" customWidth="1"/>
    <col min="6000" max="6088" width="8.6640625" style="114"/>
    <col min="6089" max="6089" width="30.88671875" style="114" customWidth="1"/>
    <col min="6090" max="6090" width="17.33203125" style="114" customWidth="1"/>
    <col min="6091" max="6092" width="0" style="114" hidden="1" customWidth="1"/>
    <col min="6093" max="6093" width="36.33203125" style="114" customWidth="1"/>
    <col min="6094" max="6105" width="7.33203125" style="114" customWidth="1"/>
    <col min="6106" max="6106" width="7.6640625" style="114" customWidth="1"/>
    <col min="6107" max="6115" width="7.33203125" style="114" customWidth="1"/>
    <col min="6116" max="6116" width="8.109375" style="114" customWidth="1"/>
    <col min="6117" max="6140" width="7.33203125" style="114" customWidth="1"/>
    <col min="6141" max="6189" width="0" style="114" hidden="1" customWidth="1"/>
    <col min="6190" max="6190" width="13.33203125" style="114" customWidth="1"/>
    <col min="6191" max="6192" width="8.6640625" style="114"/>
    <col min="6193" max="6203" width="0" style="114" hidden="1" customWidth="1"/>
    <col min="6204" max="6204" width="8.6640625" style="114"/>
    <col min="6205" max="6205" width="7.6640625" style="114" bestFit="1" customWidth="1"/>
    <col min="6206" max="6206" width="45.6640625" style="114" customWidth="1"/>
    <col min="6207" max="6207" width="16.44140625" style="114" customWidth="1"/>
    <col min="6208" max="6208" width="22.109375" style="114" customWidth="1"/>
    <col min="6209" max="6209" width="20.109375" style="114" customWidth="1"/>
    <col min="6210" max="6210" width="21.6640625" style="114" customWidth="1"/>
    <col min="6211" max="6211" width="16" style="114" customWidth="1"/>
    <col min="6212" max="6212" width="18.44140625" style="114" customWidth="1"/>
    <col min="6213" max="6213" width="21.6640625" style="114" customWidth="1"/>
    <col min="6214" max="6214" width="13.33203125" style="114" customWidth="1"/>
    <col min="6215" max="6215" width="28.33203125" style="114" customWidth="1"/>
    <col min="6216" max="6216" width="4.6640625" style="114" customWidth="1"/>
    <col min="6217" max="6217" width="7.6640625" style="114" bestFit="1" customWidth="1"/>
    <col min="6218" max="6218" width="45.6640625" style="114" customWidth="1"/>
    <col min="6219" max="6219" width="16.44140625" style="114" customWidth="1"/>
    <col min="6220" max="6220" width="22.109375" style="114" customWidth="1"/>
    <col min="6221" max="6221" width="20.109375" style="114" customWidth="1"/>
    <col min="6222" max="6222" width="21.6640625" style="114" customWidth="1"/>
    <col min="6223" max="6223" width="16" style="114" customWidth="1"/>
    <col min="6224" max="6224" width="18.44140625" style="114" customWidth="1"/>
    <col min="6225" max="6225" width="21.6640625" style="114" customWidth="1"/>
    <col min="6226" max="6226" width="13.33203125" style="114" customWidth="1"/>
    <col min="6227" max="6227" width="28.33203125" style="114" customWidth="1"/>
    <col min="6228" max="6251" width="0" style="114" hidden="1" customWidth="1"/>
    <col min="6252" max="6254" width="8.6640625" style="114"/>
    <col min="6255" max="6255" width="21" style="114" customWidth="1"/>
    <col min="6256" max="6344" width="8.6640625" style="114"/>
    <col min="6345" max="6345" width="30.88671875" style="114" customWidth="1"/>
    <col min="6346" max="6346" width="17.33203125" style="114" customWidth="1"/>
    <col min="6347" max="6348" width="0" style="114" hidden="1" customWidth="1"/>
    <col min="6349" max="6349" width="36.33203125" style="114" customWidth="1"/>
    <col min="6350" max="6361" width="7.33203125" style="114" customWidth="1"/>
    <col min="6362" max="6362" width="7.6640625" style="114" customWidth="1"/>
    <col min="6363" max="6371" width="7.33203125" style="114" customWidth="1"/>
    <col min="6372" max="6372" width="8.109375" style="114" customWidth="1"/>
    <col min="6373" max="6396" width="7.33203125" style="114" customWidth="1"/>
    <col min="6397" max="6445" width="0" style="114" hidden="1" customWidth="1"/>
    <col min="6446" max="6446" width="13.33203125" style="114" customWidth="1"/>
    <col min="6447" max="6448" width="8.6640625" style="114"/>
    <col min="6449" max="6459" width="0" style="114" hidden="1" customWidth="1"/>
    <col min="6460" max="6460" width="8.6640625" style="114"/>
    <col min="6461" max="6461" width="7.6640625" style="114" bestFit="1" customWidth="1"/>
    <col min="6462" max="6462" width="45.6640625" style="114" customWidth="1"/>
    <col min="6463" max="6463" width="16.44140625" style="114" customWidth="1"/>
    <col min="6464" max="6464" width="22.109375" style="114" customWidth="1"/>
    <col min="6465" max="6465" width="20.109375" style="114" customWidth="1"/>
    <col min="6466" max="6466" width="21.6640625" style="114" customWidth="1"/>
    <col min="6467" max="6467" width="16" style="114" customWidth="1"/>
    <col min="6468" max="6468" width="18.44140625" style="114" customWidth="1"/>
    <col min="6469" max="6469" width="21.6640625" style="114" customWidth="1"/>
    <col min="6470" max="6470" width="13.33203125" style="114" customWidth="1"/>
    <col min="6471" max="6471" width="28.33203125" style="114" customWidth="1"/>
    <col min="6472" max="6472" width="4.6640625" style="114" customWidth="1"/>
    <col min="6473" max="6473" width="7.6640625" style="114" bestFit="1" customWidth="1"/>
    <col min="6474" max="6474" width="45.6640625" style="114" customWidth="1"/>
    <col min="6475" max="6475" width="16.44140625" style="114" customWidth="1"/>
    <col min="6476" max="6476" width="22.109375" style="114" customWidth="1"/>
    <col min="6477" max="6477" width="20.109375" style="114" customWidth="1"/>
    <col min="6478" max="6478" width="21.6640625" style="114" customWidth="1"/>
    <col min="6479" max="6479" width="16" style="114" customWidth="1"/>
    <col min="6480" max="6480" width="18.44140625" style="114" customWidth="1"/>
    <col min="6481" max="6481" width="21.6640625" style="114" customWidth="1"/>
    <col min="6482" max="6482" width="13.33203125" style="114" customWidth="1"/>
    <col min="6483" max="6483" width="28.33203125" style="114" customWidth="1"/>
    <col min="6484" max="6507" width="0" style="114" hidden="1" customWidth="1"/>
    <col min="6508" max="6510" width="8.6640625" style="114"/>
    <col min="6511" max="6511" width="21" style="114" customWidth="1"/>
    <col min="6512" max="6600" width="8.6640625" style="114"/>
    <col min="6601" max="6601" width="30.88671875" style="114" customWidth="1"/>
    <col min="6602" max="6602" width="17.33203125" style="114" customWidth="1"/>
    <col min="6603" max="6604" width="0" style="114" hidden="1" customWidth="1"/>
    <col min="6605" max="6605" width="36.33203125" style="114" customWidth="1"/>
    <col min="6606" max="6617" width="7.33203125" style="114" customWidth="1"/>
    <col min="6618" max="6618" width="7.6640625" style="114" customWidth="1"/>
    <col min="6619" max="6627" width="7.33203125" style="114" customWidth="1"/>
    <col min="6628" max="6628" width="8.109375" style="114" customWidth="1"/>
    <col min="6629" max="6652" width="7.33203125" style="114" customWidth="1"/>
    <col min="6653" max="6701" width="0" style="114" hidden="1" customWidth="1"/>
    <col min="6702" max="6702" width="13.33203125" style="114" customWidth="1"/>
    <col min="6703" max="6704" width="8.6640625" style="114"/>
    <col min="6705" max="6715" width="0" style="114" hidden="1" customWidth="1"/>
    <col min="6716" max="6716" width="8.6640625" style="114"/>
    <col min="6717" max="6717" width="7.6640625" style="114" bestFit="1" customWidth="1"/>
    <col min="6718" max="6718" width="45.6640625" style="114" customWidth="1"/>
    <col min="6719" max="6719" width="16.44140625" style="114" customWidth="1"/>
    <col min="6720" max="6720" width="22.109375" style="114" customWidth="1"/>
    <col min="6721" max="6721" width="20.109375" style="114" customWidth="1"/>
    <col min="6722" max="6722" width="21.6640625" style="114" customWidth="1"/>
    <col min="6723" max="6723" width="16" style="114" customWidth="1"/>
    <col min="6724" max="6724" width="18.44140625" style="114" customWidth="1"/>
    <col min="6725" max="6725" width="21.6640625" style="114" customWidth="1"/>
    <col min="6726" max="6726" width="13.33203125" style="114" customWidth="1"/>
    <col min="6727" max="6727" width="28.33203125" style="114" customWidth="1"/>
    <col min="6728" max="6728" width="4.6640625" style="114" customWidth="1"/>
    <col min="6729" max="6729" width="7.6640625" style="114" bestFit="1" customWidth="1"/>
    <col min="6730" max="6730" width="45.6640625" style="114" customWidth="1"/>
    <col min="6731" max="6731" width="16.44140625" style="114" customWidth="1"/>
    <col min="6732" max="6732" width="22.109375" style="114" customWidth="1"/>
    <col min="6733" max="6733" width="20.109375" style="114" customWidth="1"/>
    <col min="6734" max="6734" width="21.6640625" style="114" customWidth="1"/>
    <col min="6735" max="6735" width="16" style="114" customWidth="1"/>
    <col min="6736" max="6736" width="18.44140625" style="114" customWidth="1"/>
    <col min="6737" max="6737" width="21.6640625" style="114" customWidth="1"/>
    <col min="6738" max="6738" width="13.33203125" style="114" customWidth="1"/>
    <col min="6739" max="6739" width="28.33203125" style="114" customWidth="1"/>
    <col min="6740" max="6763" width="0" style="114" hidden="1" customWidth="1"/>
    <col min="6764" max="6766" width="8.6640625" style="114"/>
    <col min="6767" max="6767" width="21" style="114" customWidth="1"/>
    <col min="6768" max="6856" width="8.6640625" style="114"/>
    <col min="6857" max="6857" width="30.88671875" style="114" customWidth="1"/>
    <col min="6858" max="6858" width="17.33203125" style="114" customWidth="1"/>
    <col min="6859" max="6860" width="0" style="114" hidden="1" customWidth="1"/>
    <col min="6861" max="6861" width="36.33203125" style="114" customWidth="1"/>
    <col min="6862" max="6873" width="7.33203125" style="114" customWidth="1"/>
    <col min="6874" max="6874" width="7.6640625" style="114" customWidth="1"/>
    <col min="6875" max="6883" width="7.33203125" style="114" customWidth="1"/>
    <col min="6884" max="6884" width="8.109375" style="114" customWidth="1"/>
    <col min="6885" max="6908" width="7.33203125" style="114" customWidth="1"/>
    <col min="6909" max="6957" width="0" style="114" hidden="1" customWidth="1"/>
    <col min="6958" max="6958" width="13.33203125" style="114" customWidth="1"/>
    <col min="6959" max="6960" width="8.6640625" style="114"/>
    <col min="6961" max="6971" width="0" style="114" hidden="1" customWidth="1"/>
    <col min="6972" max="6972" width="8.6640625" style="114"/>
    <col min="6973" max="6973" width="7.6640625" style="114" bestFit="1" customWidth="1"/>
    <col min="6974" max="6974" width="45.6640625" style="114" customWidth="1"/>
    <col min="6975" max="6975" width="16.44140625" style="114" customWidth="1"/>
    <col min="6976" max="6976" width="22.109375" style="114" customWidth="1"/>
    <col min="6977" max="6977" width="20.109375" style="114" customWidth="1"/>
    <col min="6978" max="6978" width="21.6640625" style="114" customWidth="1"/>
    <col min="6979" max="6979" width="16" style="114" customWidth="1"/>
    <col min="6980" max="6980" width="18.44140625" style="114" customWidth="1"/>
    <col min="6981" max="6981" width="21.6640625" style="114" customWidth="1"/>
    <col min="6982" max="6982" width="13.33203125" style="114" customWidth="1"/>
    <col min="6983" max="6983" width="28.33203125" style="114" customWidth="1"/>
    <col min="6984" max="6984" width="4.6640625" style="114" customWidth="1"/>
    <col min="6985" max="6985" width="7.6640625" style="114" bestFit="1" customWidth="1"/>
    <col min="6986" max="6986" width="45.6640625" style="114" customWidth="1"/>
    <col min="6987" max="6987" width="16.44140625" style="114" customWidth="1"/>
    <col min="6988" max="6988" width="22.109375" style="114" customWidth="1"/>
    <col min="6989" max="6989" width="20.109375" style="114" customWidth="1"/>
    <col min="6990" max="6990" width="21.6640625" style="114" customWidth="1"/>
    <col min="6991" max="6991" width="16" style="114" customWidth="1"/>
    <col min="6992" max="6992" width="18.44140625" style="114" customWidth="1"/>
    <col min="6993" max="6993" width="21.6640625" style="114" customWidth="1"/>
    <col min="6994" max="6994" width="13.33203125" style="114" customWidth="1"/>
    <col min="6995" max="6995" width="28.33203125" style="114" customWidth="1"/>
    <col min="6996" max="7019" width="0" style="114" hidden="1" customWidth="1"/>
    <col min="7020" max="7022" width="8.6640625" style="114"/>
    <col min="7023" max="7023" width="21" style="114" customWidth="1"/>
    <col min="7024" max="7112" width="8.6640625" style="114"/>
    <col min="7113" max="7113" width="30.88671875" style="114" customWidth="1"/>
    <col min="7114" max="7114" width="17.33203125" style="114" customWidth="1"/>
    <col min="7115" max="7116" width="0" style="114" hidden="1" customWidth="1"/>
    <col min="7117" max="7117" width="36.33203125" style="114" customWidth="1"/>
    <col min="7118" max="7129" width="7.33203125" style="114" customWidth="1"/>
    <col min="7130" max="7130" width="7.6640625" style="114" customWidth="1"/>
    <col min="7131" max="7139" width="7.33203125" style="114" customWidth="1"/>
    <col min="7140" max="7140" width="8.109375" style="114" customWidth="1"/>
    <col min="7141" max="7164" width="7.33203125" style="114" customWidth="1"/>
    <col min="7165" max="7213" width="0" style="114" hidden="1" customWidth="1"/>
    <col min="7214" max="7214" width="13.33203125" style="114" customWidth="1"/>
    <col min="7215" max="7216" width="8.6640625" style="114"/>
    <col min="7217" max="7227" width="0" style="114" hidden="1" customWidth="1"/>
    <col min="7228" max="7228" width="8.6640625" style="114"/>
    <col min="7229" max="7229" width="7.6640625" style="114" bestFit="1" customWidth="1"/>
    <col min="7230" max="7230" width="45.6640625" style="114" customWidth="1"/>
    <col min="7231" max="7231" width="16.44140625" style="114" customWidth="1"/>
    <col min="7232" max="7232" width="22.109375" style="114" customWidth="1"/>
    <col min="7233" max="7233" width="20.109375" style="114" customWidth="1"/>
    <col min="7234" max="7234" width="21.6640625" style="114" customWidth="1"/>
    <col min="7235" max="7235" width="16" style="114" customWidth="1"/>
    <col min="7236" max="7236" width="18.44140625" style="114" customWidth="1"/>
    <col min="7237" max="7237" width="21.6640625" style="114" customWidth="1"/>
    <col min="7238" max="7238" width="13.33203125" style="114" customWidth="1"/>
    <col min="7239" max="7239" width="28.33203125" style="114" customWidth="1"/>
    <col min="7240" max="7240" width="4.6640625" style="114" customWidth="1"/>
    <col min="7241" max="7241" width="7.6640625" style="114" bestFit="1" customWidth="1"/>
    <col min="7242" max="7242" width="45.6640625" style="114" customWidth="1"/>
    <col min="7243" max="7243" width="16.44140625" style="114" customWidth="1"/>
    <col min="7244" max="7244" width="22.109375" style="114" customWidth="1"/>
    <col min="7245" max="7245" width="20.109375" style="114" customWidth="1"/>
    <col min="7246" max="7246" width="21.6640625" style="114" customWidth="1"/>
    <col min="7247" max="7247" width="16" style="114" customWidth="1"/>
    <col min="7248" max="7248" width="18.44140625" style="114" customWidth="1"/>
    <col min="7249" max="7249" width="21.6640625" style="114" customWidth="1"/>
    <col min="7250" max="7250" width="13.33203125" style="114" customWidth="1"/>
    <col min="7251" max="7251" width="28.33203125" style="114" customWidth="1"/>
    <col min="7252" max="7275" width="0" style="114" hidden="1" customWidth="1"/>
    <col min="7276" max="7278" width="8.6640625" style="114"/>
    <col min="7279" max="7279" width="21" style="114" customWidth="1"/>
    <col min="7280" max="7368" width="8.6640625" style="114"/>
    <col min="7369" max="7369" width="30.88671875" style="114" customWidth="1"/>
    <col min="7370" max="7370" width="17.33203125" style="114" customWidth="1"/>
    <col min="7371" max="7372" width="0" style="114" hidden="1" customWidth="1"/>
    <col min="7373" max="7373" width="36.33203125" style="114" customWidth="1"/>
    <col min="7374" max="7385" width="7.33203125" style="114" customWidth="1"/>
    <col min="7386" max="7386" width="7.6640625" style="114" customWidth="1"/>
    <col min="7387" max="7395" width="7.33203125" style="114" customWidth="1"/>
    <col min="7396" max="7396" width="8.109375" style="114" customWidth="1"/>
    <col min="7397" max="7420" width="7.33203125" style="114" customWidth="1"/>
    <col min="7421" max="7469" width="0" style="114" hidden="1" customWidth="1"/>
    <col min="7470" max="7470" width="13.33203125" style="114" customWidth="1"/>
    <col min="7471" max="7472" width="8.6640625" style="114"/>
    <col min="7473" max="7483" width="0" style="114" hidden="1" customWidth="1"/>
    <col min="7484" max="7484" width="8.6640625" style="114"/>
    <col min="7485" max="7485" width="7.6640625" style="114" bestFit="1" customWidth="1"/>
    <col min="7486" max="7486" width="45.6640625" style="114" customWidth="1"/>
    <col min="7487" max="7487" width="16.44140625" style="114" customWidth="1"/>
    <col min="7488" max="7488" width="22.109375" style="114" customWidth="1"/>
    <col min="7489" max="7489" width="20.109375" style="114" customWidth="1"/>
    <col min="7490" max="7490" width="21.6640625" style="114" customWidth="1"/>
    <col min="7491" max="7491" width="16" style="114" customWidth="1"/>
    <col min="7492" max="7492" width="18.44140625" style="114" customWidth="1"/>
    <col min="7493" max="7493" width="21.6640625" style="114" customWidth="1"/>
    <col min="7494" max="7494" width="13.33203125" style="114" customWidth="1"/>
    <col min="7495" max="7495" width="28.33203125" style="114" customWidth="1"/>
    <col min="7496" max="7496" width="4.6640625" style="114" customWidth="1"/>
    <col min="7497" max="7497" width="7.6640625" style="114" bestFit="1" customWidth="1"/>
    <col min="7498" max="7498" width="45.6640625" style="114" customWidth="1"/>
    <col min="7499" max="7499" width="16.44140625" style="114" customWidth="1"/>
    <col min="7500" max="7500" width="22.109375" style="114" customWidth="1"/>
    <col min="7501" max="7501" width="20.109375" style="114" customWidth="1"/>
    <col min="7502" max="7502" width="21.6640625" style="114" customWidth="1"/>
    <col min="7503" max="7503" width="16" style="114" customWidth="1"/>
    <col min="7504" max="7504" width="18.44140625" style="114" customWidth="1"/>
    <col min="7505" max="7505" width="21.6640625" style="114" customWidth="1"/>
    <col min="7506" max="7506" width="13.33203125" style="114" customWidth="1"/>
    <col min="7507" max="7507" width="28.33203125" style="114" customWidth="1"/>
    <col min="7508" max="7531" width="0" style="114" hidden="1" customWidth="1"/>
    <col min="7532" max="7534" width="8.6640625" style="114"/>
    <col min="7535" max="7535" width="21" style="114" customWidth="1"/>
    <col min="7536" max="7624" width="8.6640625" style="114"/>
    <col min="7625" max="7625" width="30.88671875" style="114" customWidth="1"/>
    <col min="7626" max="7626" width="17.33203125" style="114" customWidth="1"/>
    <col min="7627" max="7628" width="0" style="114" hidden="1" customWidth="1"/>
    <col min="7629" max="7629" width="36.33203125" style="114" customWidth="1"/>
    <col min="7630" max="7641" width="7.33203125" style="114" customWidth="1"/>
    <col min="7642" max="7642" width="7.6640625" style="114" customWidth="1"/>
    <col min="7643" max="7651" width="7.33203125" style="114" customWidth="1"/>
    <col min="7652" max="7652" width="8.109375" style="114" customWidth="1"/>
    <col min="7653" max="7676" width="7.33203125" style="114" customWidth="1"/>
    <col min="7677" max="7725" width="0" style="114" hidden="1" customWidth="1"/>
    <col min="7726" max="7726" width="13.33203125" style="114" customWidth="1"/>
    <col min="7727" max="7728" width="8.6640625" style="114"/>
    <col min="7729" max="7739" width="0" style="114" hidden="1" customWidth="1"/>
    <col min="7740" max="7740" width="8.6640625" style="114"/>
    <col min="7741" max="7741" width="7.6640625" style="114" bestFit="1" customWidth="1"/>
    <col min="7742" max="7742" width="45.6640625" style="114" customWidth="1"/>
    <col min="7743" max="7743" width="16.44140625" style="114" customWidth="1"/>
    <col min="7744" max="7744" width="22.109375" style="114" customWidth="1"/>
    <col min="7745" max="7745" width="20.109375" style="114" customWidth="1"/>
    <col min="7746" max="7746" width="21.6640625" style="114" customWidth="1"/>
    <col min="7747" max="7747" width="16" style="114" customWidth="1"/>
    <col min="7748" max="7748" width="18.44140625" style="114" customWidth="1"/>
    <col min="7749" max="7749" width="21.6640625" style="114" customWidth="1"/>
    <col min="7750" max="7750" width="13.33203125" style="114" customWidth="1"/>
    <col min="7751" max="7751" width="28.33203125" style="114" customWidth="1"/>
    <col min="7752" max="7752" width="4.6640625" style="114" customWidth="1"/>
    <col min="7753" max="7753" width="7.6640625" style="114" bestFit="1" customWidth="1"/>
    <col min="7754" max="7754" width="45.6640625" style="114" customWidth="1"/>
    <col min="7755" max="7755" width="16.44140625" style="114" customWidth="1"/>
    <col min="7756" max="7756" width="22.109375" style="114" customWidth="1"/>
    <col min="7757" max="7757" width="20.109375" style="114" customWidth="1"/>
    <col min="7758" max="7758" width="21.6640625" style="114" customWidth="1"/>
    <col min="7759" max="7759" width="16" style="114" customWidth="1"/>
    <col min="7760" max="7760" width="18.44140625" style="114" customWidth="1"/>
    <col min="7761" max="7761" width="21.6640625" style="114" customWidth="1"/>
    <col min="7762" max="7762" width="13.33203125" style="114" customWidth="1"/>
    <col min="7763" max="7763" width="28.33203125" style="114" customWidth="1"/>
    <col min="7764" max="7787" width="0" style="114" hidden="1" customWidth="1"/>
    <col min="7788" max="7790" width="8.6640625" style="114"/>
    <col min="7791" max="7791" width="21" style="114" customWidth="1"/>
    <col min="7792" max="7880" width="8.6640625" style="114"/>
    <col min="7881" max="7881" width="30.88671875" style="114" customWidth="1"/>
    <col min="7882" max="7882" width="17.33203125" style="114" customWidth="1"/>
    <col min="7883" max="7884" width="0" style="114" hidden="1" customWidth="1"/>
    <col min="7885" max="7885" width="36.33203125" style="114" customWidth="1"/>
    <col min="7886" max="7897" width="7.33203125" style="114" customWidth="1"/>
    <col min="7898" max="7898" width="7.6640625" style="114" customWidth="1"/>
    <col min="7899" max="7907" width="7.33203125" style="114" customWidth="1"/>
    <col min="7908" max="7908" width="8.109375" style="114" customWidth="1"/>
    <col min="7909" max="7932" width="7.33203125" style="114" customWidth="1"/>
    <col min="7933" max="7981" width="0" style="114" hidden="1" customWidth="1"/>
    <col min="7982" max="7982" width="13.33203125" style="114" customWidth="1"/>
    <col min="7983" max="7984" width="8.6640625" style="114"/>
    <col min="7985" max="7995" width="0" style="114" hidden="1" customWidth="1"/>
    <col min="7996" max="7996" width="8.6640625" style="114"/>
    <col min="7997" max="7997" width="7.6640625" style="114" bestFit="1" customWidth="1"/>
    <col min="7998" max="7998" width="45.6640625" style="114" customWidth="1"/>
    <col min="7999" max="7999" width="16.44140625" style="114" customWidth="1"/>
    <col min="8000" max="8000" width="22.109375" style="114" customWidth="1"/>
    <col min="8001" max="8001" width="20.109375" style="114" customWidth="1"/>
    <col min="8002" max="8002" width="21.6640625" style="114" customWidth="1"/>
    <col min="8003" max="8003" width="16" style="114" customWidth="1"/>
    <col min="8004" max="8004" width="18.44140625" style="114" customWidth="1"/>
    <col min="8005" max="8005" width="21.6640625" style="114" customWidth="1"/>
    <col min="8006" max="8006" width="13.33203125" style="114" customWidth="1"/>
    <col min="8007" max="8007" width="28.33203125" style="114" customWidth="1"/>
    <col min="8008" max="8008" width="4.6640625" style="114" customWidth="1"/>
    <col min="8009" max="8009" width="7.6640625" style="114" bestFit="1" customWidth="1"/>
    <col min="8010" max="8010" width="45.6640625" style="114" customWidth="1"/>
    <col min="8011" max="8011" width="16.44140625" style="114" customWidth="1"/>
    <col min="8012" max="8012" width="22.109375" style="114" customWidth="1"/>
    <col min="8013" max="8013" width="20.109375" style="114" customWidth="1"/>
    <col min="8014" max="8014" width="21.6640625" style="114" customWidth="1"/>
    <col min="8015" max="8015" width="16" style="114" customWidth="1"/>
    <col min="8016" max="8016" width="18.44140625" style="114" customWidth="1"/>
    <col min="8017" max="8017" width="21.6640625" style="114" customWidth="1"/>
    <col min="8018" max="8018" width="13.33203125" style="114" customWidth="1"/>
    <col min="8019" max="8019" width="28.33203125" style="114" customWidth="1"/>
    <col min="8020" max="8043" width="0" style="114" hidden="1" customWidth="1"/>
    <col min="8044" max="8046" width="8.6640625" style="114"/>
    <col min="8047" max="8047" width="21" style="114" customWidth="1"/>
    <col min="8048" max="8136" width="8.6640625" style="114"/>
    <col min="8137" max="8137" width="30.88671875" style="114" customWidth="1"/>
    <col min="8138" max="8138" width="17.33203125" style="114" customWidth="1"/>
    <col min="8139" max="8140" width="0" style="114" hidden="1" customWidth="1"/>
    <col min="8141" max="8141" width="36.33203125" style="114" customWidth="1"/>
    <col min="8142" max="8153" width="7.33203125" style="114" customWidth="1"/>
    <col min="8154" max="8154" width="7.6640625" style="114" customWidth="1"/>
    <col min="8155" max="8163" width="7.33203125" style="114" customWidth="1"/>
    <col min="8164" max="8164" width="8.109375" style="114" customWidth="1"/>
    <col min="8165" max="8188" width="7.33203125" style="114" customWidth="1"/>
    <col min="8189" max="8237" width="0" style="114" hidden="1" customWidth="1"/>
    <col min="8238" max="8238" width="13.33203125" style="114" customWidth="1"/>
    <col min="8239" max="8240" width="8.6640625" style="114"/>
    <col min="8241" max="8251" width="0" style="114" hidden="1" customWidth="1"/>
    <col min="8252" max="8252" width="8.6640625" style="114"/>
    <col min="8253" max="8253" width="7.6640625" style="114" bestFit="1" customWidth="1"/>
    <col min="8254" max="8254" width="45.6640625" style="114" customWidth="1"/>
    <col min="8255" max="8255" width="16.44140625" style="114" customWidth="1"/>
    <col min="8256" max="8256" width="22.109375" style="114" customWidth="1"/>
    <col min="8257" max="8257" width="20.109375" style="114" customWidth="1"/>
    <col min="8258" max="8258" width="21.6640625" style="114" customWidth="1"/>
    <col min="8259" max="8259" width="16" style="114" customWidth="1"/>
    <col min="8260" max="8260" width="18.44140625" style="114" customWidth="1"/>
    <col min="8261" max="8261" width="21.6640625" style="114" customWidth="1"/>
    <col min="8262" max="8262" width="13.33203125" style="114" customWidth="1"/>
    <col min="8263" max="8263" width="28.33203125" style="114" customWidth="1"/>
    <col min="8264" max="8264" width="4.6640625" style="114" customWidth="1"/>
    <col min="8265" max="8265" width="7.6640625" style="114" bestFit="1" customWidth="1"/>
    <col min="8266" max="8266" width="45.6640625" style="114" customWidth="1"/>
    <col min="8267" max="8267" width="16.44140625" style="114" customWidth="1"/>
    <col min="8268" max="8268" width="22.109375" style="114" customWidth="1"/>
    <col min="8269" max="8269" width="20.109375" style="114" customWidth="1"/>
    <col min="8270" max="8270" width="21.6640625" style="114" customWidth="1"/>
    <col min="8271" max="8271" width="16" style="114" customWidth="1"/>
    <col min="8272" max="8272" width="18.44140625" style="114" customWidth="1"/>
    <col min="8273" max="8273" width="21.6640625" style="114" customWidth="1"/>
    <col min="8274" max="8274" width="13.33203125" style="114" customWidth="1"/>
    <col min="8275" max="8275" width="28.33203125" style="114" customWidth="1"/>
    <col min="8276" max="8299" width="0" style="114" hidden="1" customWidth="1"/>
    <col min="8300" max="8302" width="8.6640625" style="114"/>
    <col min="8303" max="8303" width="21" style="114" customWidth="1"/>
    <col min="8304" max="8392" width="8.6640625" style="114"/>
    <col min="8393" max="8393" width="30.88671875" style="114" customWidth="1"/>
    <col min="8394" max="8394" width="17.33203125" style="114" customWidth="1"/>
    <col min="8395" max="8396" width="0" style="114" hidden="1" customWidth="1"/>
    <col min="8397" max="8397" width="36.33203125" style="114" customWidth="1"/>
    <col min="8398" max="8409" width="7.33203125" style="114" customWidth="1"/>
    <col min="8410" max="8410" width="7.6640625" style="114" customWidth="1"/>
    <col min="8411" max="8419" width="7.33203125" style="114" customWidth="1"/>
    <col min="8420" max="8420" width="8.109375" style="114" customWidth="1"/>
    <col min="8421" max="8444" width="7.33203125" style="114" customWidth="1"/>
    <col min="8445" max="8493" width="0" style="114" hidden="1" customWidth="1"/>
    <col min="8494" max="8494" width="13.33203125" style="114" customWidth="1"/>
    <col min="8495" max="8496" width="8.6640625" style="114"/>
    <col min="8497" max="8507" width="0" style="114" hidden="1" customWidth="1"/>
    <col min="8508" max="8508" width="8.6640625" style="114"/>
    <col min="8509" max="8509" width="7.6640625" style="114" bestFit="1" customWidth="1"/>
    <col min="8510" max="8510" width="45.6640625" style="114" customWidth="1"/>
    <col min="8511" max="8511" width="16.44140625" style="114" customWidth="1"/>
    <col min="8512" max="8512" width="22.109375" style="114" customWidth="1"/>
    <col min="8513" max="8513" width="20.109375" style="114" customWidth="1"/>
    <col min="8514" max="8514" width="21.6640625" style="114" customWidth="1"/>
    <col min="8515" max="8515" width="16" style="114" customWidth="1"/>
    <col min="8516" max="8516" width="18.44140625" style="114" customWidth="1"/>
    <col min="8517" max="8517" width="21.6640625" style="114" customWidth="1"/>
    <col min="8518" max="8518" width="13.33203125" style="114" customWidth="1"/>
    <col min="8519" max="8519" width="28.33203125" style="114" customWidth="1"/>
    <col min="8520" max="8520" width="4.6640625" style="114" customWidth="1"/>
    <col min="8521" max="8521" width="7.6640625" style="114" bestFit="1" customWidth="1"/>
    <col min="8522" max="8522" width="45.6640625" style="114" customWidth="1"/>
    <col min="8523" max="8523" width="16.44140625" style="114" customWidth="1"/>
    <col min="8524" max="8524" width="22.109375" style="114" customWidth="1"/>
    <col min="8525" max="8525" width="20.109375" style="114" customWidth="1"/>
    <col min="8526" max="8526" width="21.6640625" style="114" customWidth="1"/>
    <col min="8527" max="8527" width="16" style="114" customWidth="1"/>
    <col min="8528" max="8528" width="18.44140625" style="114" customWidth="1"/>
    <col min="8529" max="8529" width="21.6640625" style="114" customWidth="1"/>
    <col min="8530" max="8530" width="13.33203125" style="114" customWidth="1"/>
    <col min="8531" max="8531" width="28.33203125" style="114" customWidth="1"/>
    <col min="8532" max="8555" width="0" style="114" hidden="1" customWidth="1"/>
    <col min="8556" max="8558" width="8.6640625" style="114"/>
    <col min="8559" max="8559" width="21" style="114" customWidth="1"/>
    <col min="8560" max="8648" width="8.6640625" style="114"/>
    <col min="8649" max="8649" width="30.88671875" style="114" customWidth="1"/>
    <col min="8650" max="8650" width="17.33203125" style="114" customWidth="1"/>
    <col min="8651" max="8652" width="0" style="114" hidden="1" customWidth="1"/>
    <col min="8653" max="8653" width="36.33203125" style="114" customWidth="1"/>
    <col min="8654" max="8665" width="7.33203125" style="114" customWidth="1"/>
    <col min="8666" max="8666" width="7.6640625" style="114" customWidth="1"/>
    <col min="8667" max="8675" width="7.33203125" style="114" customWidth="1"/>
    <col min="8676" max="8676" width="8.109375" style="114" customWidth="1"/>
    <col min="8677" max="8700" width="7.33203125" style="114" customWidth="1"/>
    <col min="8701" max="8749" width="0" style="114" hidden="1" customWidth="1"/>
    <col min="8750" max="8750" width="13.33203125" style="114" customWidth="1"/>
    <col min="8751" max="8752" width="8.6640625" style="114"/>
    <col min="8753" max="8763" width="0" style="114" hidden="1" customWidth="1"/>
    <col min="8764" max="8764" width="8.6640625" style="114"/>
    <col min="8765" max="8765" width="7.6640625" style="114" bestFit="1" customWidth="1"/>
    <col min="8766" max="8766" width="45.6640625" style="114" customWidth="1"/>
    <col min="8767" max="8767" width="16.44140625" style="114" customWidth="1"/>
    <col min="8768" max="8768" width="22.109375" style="114" customWidth="1"/>
    <col min="8769" max="8769" width="20.109375" style="114" customWidth="1"/>
    <col min="8770" max="8770" width="21.6640625" style="114" customWidth="1"/>
    <col min="8771" max="8771" width="16" style="114" customWidth="1"/>
    <col min="8772" max="8772" width="18.44140625" style="114" customWidth="1"/>
    <col min="8773" max="8773" width="21.6640625" style="114" customWidth="1"/>
    <col min="8774" max="8774" width="13.33203125" style="114" customWidth="1"/>
    <col min="8775" max="8775" width="28.33203125" style="114" customWidth="1"/>
    <col min="8776" max="8776" width="4.6640625" style="114" customWidth="1"/>
    <col min="8777" max="8777" width="7.6640625" style="114" bestFit="1" customWidth="1"/>
    <col min="8778" max="8778" width="45.6640625" style="114" customWidth="1"/>
    <col min="8779" max="8779" width="16.44140625" style="114" customWidth="1"/>
    <col min="8780" max="8780" width="22.109375" style="114" customWidth="1"/>
    <col min="8781" max="8781" width="20.109375" style="114" customWidth="1"/>
    <col min="8782" max="8782" width="21.6640625" style="114" customWidth="1"/>
    <col min="8783" max="8783" width="16" style="114" customWidth="1"/>
    <col min="8784" max="8784" width="18.44140625" style="114" customWidth="1"/>
    <col min="8785" max="8785" width="21.6640625" style="114" customWidth="1"/>
    <col min="8786" max="8786" width="13.33203125" style="114" customWidth="1"/>
    <col min="8787" max="8787" width="28.33203125" style="114" customWidth="1"/>
    <col min="8788" max="8811" width="0" style="114" hidden="1" customWidth="1"/>
    <col min="8812" max="8814" width="8.6640625" style="114"/>
    <col min="8815" max="8815" width="21" style="114" customWidth="1"/>
    <col min="8816" max="8904" width="8.6640625" style="114"/>
    <col min="8905" max="8905" width="30.88671875" style="114" customWidth="1"/>
    <col min="8906" max="8906" width="17.33203125" style="114" customWidth="1"/>
    <col min="8907" max="8908" width="0" style="114" hidden="1" customWidth="1"/>
    <col min="8909" max="8909" width="36.33203125" style="114" customWidth="1"/>
    <col min="8910" max="8921" width="7.33203125" style="114" customWidth="1"/>
    <col min="8922" max="8922" width="7.6640625" style="114" customWidth="1"/>
    <col min="8923" max="8931" width="7.33203125" style="114" customWidth="1"/>
    <col min="8932" max="8932" width="8.109375" style="114" customWidth="1"/>
    <col min="8933" max="8956" width="7.33203125" style="114" customWidth="1"/>
    <col min="8957" max="9005" width="0" style="114" hidden="1" customWidth="1"/>
    <col min="9006" max="9006" width="13.33203125" style="114" customWidth="1"/>
    <col min="9007" max="9008" width="8.6640625" style="114"/>
    <col min="9009" max="9019" width="0" style="114" hidden="1" customWidth="1"/>
    <col min="9020" max="9020" width="8.6640625" style="114"/>
    <col min="9021" max="9021" width="7.6640625" style="114" bestFit="1" customWidth="1"/>
    <col min="9022" max="9022" width="45.6640625" style="114" customWidth="1"/>
    <col min="9023" max="9023" width="16.44140625" style="114" customWidth="1"/>
    <col min="9024" max="9024" width="22.109375" style="114" customWidth="1"/>
    <col min="9025" max="9025" width="20.109375" style="114" customWidth="1"/>
    <col min="9026" max="9026" width="21.6640625" style="114" customWidth="1"/>
    <col min="9027" max="9027" width="16" style="114" customWidth="1"/>
    <col min="9028" max="9028" width="18.44140625" style="114" customWidth="1"/>
    <col min="9029" max="9029" width="21.6640625" style="114" customWidth="1"/>
    <col min="9030" max="9030" width="13.33203125" style="114" customWidth="1"/>
    <col min="9031" max="9031" width="28.33203125" style="114" customWidth="1"/>
    <col min="9032" max="9032" width="4.6640625" style="114" customWidth="1"/>
    <col min="9033" max="9033" width="7.6640625" style="114" bestFit="1" customWidth="1"/>
    <col min="9034" max="9034" width="45.6640625" style="114" customWidth="1"/>
    <col min="9035" max="9035" width="16.44140625" style="114" customWidth="1"/>
    <col min="9036" max="9036" width="22.109375" style="114" customWidth="1"/>
    <col min="9037" max="9037" width="20.109375" style="114" customWidth="1"/>
    <col min="9038" max="9038" width="21.6640625" style="114" customWidth="1"/>
    <col min="9039" max="9039" width="16" style="114" customWidth="1"/>
    <col min="9040" max="9040" width="18.44140625" style="114" customWidth="1"/>
    <col min="9041" max="9041" width="21.6640625" style="114" customWidth="1"/>
    <col min="9042" max="9042" width="13.33203125" style="114" customWidth="1"/>
    <col min="9043" max="9043" width="28.33203125" style="114" customWidth="1"/>
    <col min="9044" max="9067" width="0" style="114" hidden="1" customWidth="1"/>
    <col min="9068" max="9070" width="8.6640625" style="114"/>
    <col min="9071" max="9071" width="21" style="114" customWidth="1"/>
    <col min="9072" max="9160" width="8.6640625" style="114"/>
    <col min="9161" max="9161" width="30.88671875" style="114" customWidth="1"/>
    <col min="9162" max="9162" width="17.33203125" style="114" customWidth="1"/>
    <col min="9163" max="9164" width="0" style="114" hidden="1" customWidth="1"/>
    <col min="9165" max="9165" width="36.33203125" style="114" customWidth="1"/>
    <col min="9166" max="9177" width="7.33203125" style="114" customWidth="1"/>
    <col min="9178" max="9178" width="7.6640625" style="114" customWidth="1"/>
    <col min="9179" max="9187" width="7.33203125" style="114" customWidth="1"/>
    <col min="9188" max="9188" width="8.109375" style="114" customWidth="1"/>
    <col min="9189" max="9212" width="7.33203125" style="114" customWidth="1"/>
    <col min="9213" max="9261" width="0" style="114" hidden="1" customWidth="1"/>
    <col min="9262" max="9262" width="13.33203125" style="114" customWidth="1"/>
    <col min="9263" max="9264" width="8.6640625" style="114"/>
    <col min="9265" max="9275" width="0" style="114" hidden="1" customWidth="1"/>
    <col min="9276" max="9276" width="8.6640625" style="114"/>
    <col min="9277" max="9277" width="7.6640625" style="114" bestFit="1" customWidth="1"/>
    <col min="9278" max="9278" width="45.6640625" style="114" customWidth="1"/>
    <col min="9279" max="9279" width="16.44140625" style="114" customWidth="1"/>
    <col min="9280" max="9280" width="22.109375" style="114" customWidth="1"/>
    <col min="9281" max="9281" width="20.109375" style="114" customWidth="1"/>
    <col min="9282" max="9282" width="21.6640625" style="114" customWidth="1"/>
    <col min="9283" max="9283" width="16" style="114" customWidth="1"/>
    <col min="9284" max="9284" width="18.44140625" style="114" customWidth="1"/>
    <col min="9285" max="9285" width="21.6640625" style="114" customWidth="1"/>
    <col min="9286" max="9286" width="13.33203125" style="114" customWidth="1"/>
    <col min="9287" max="9287" width="28.33203125" style="114" customWidth="1"/>
    <col min="9288" max="9288" width="4.6640625" style="114" customWidth="1"/>
    <col min="9289" max="9289" width="7.6640625" style="114" bestFit="1" customWidth="1"/>
    <col min="9290" max="9290" width="45.6640625" style="114" customWidth="1"/>
    <col min="9291" max="9291" width="16.44140625" style="114" customWidth="1"/>
    <col min="9292" max="9292" width="22.109375" style="114" customWidth="1"/>
    <col min="9293" max="9293" width="20.109375" style="114" customWidth="1"/>
    <col min="9294" max="9294" width="21.6640625" style="114" customWidth="1"/>
    <col min="9295" max="9295" width="16" style="114" customWidth="1"/>
    <col min="9296" max="9296" width="18.44140625" style="114" customWidth="1"/>
    <col min="9297" max="9297" width="21.6640625" style="114" customWidth="1"/>
    <col min="9298" max="9298" width="13.33203125" style="114" customWidth="1"/>
    <col min="9299" max="9299" width="28.33203125" style="114" customWidth="1"/>
    <col min="9300" max="9323" width="0" style="114" hidden="1" customWidth="1"/>
    <col min="9324" max="9326" width="8.6640625" style="114"/>
    <col min="9327" max="9327" width="21" style="114" customWidth="1"/>
    <col min="9328" max="9416" width="8.6640625" style="114"/>
    <col min="9417" max="9417" width="30.88671875" style="114" customWidth="1"/>
    <col min="9418" max="9418" width="17.33203125" style="114" customWidth="1"/>
    <col min="9419" max="9420" width="0" style="114" hidden="1" customWidth="1"/>
    <col min="9421" max="9421" width="36.33203125" style="114" customWidth="1"/>
    <col min="9422" max="9433" width="7.33203125" style="114" customWidth="1"/>
    <col min="9434" max="9434" width="7.6640625" style="114" customWidth="1"/>
    <col min="9435" max="9443" width="7.33203125" style="114" customWidth="1"/>
    <col min="9444" max="9444" width="8.109375" style="114" customWidth="1"/>
    <col min="9445" max="9468" width="7.33203125" style="114" customWidth="1"/>
    <col min="9469" max="9517" width="0" style="114" hidden="1" customWidth="1"/>
    <col min="9518" max="9518" width="13.33203125" style="114" customWidth="1"/>
    <col min="9519" max="9520" width="8.6640625" style="114"/>
    <col min="9521" max="9531" width="0" style="114" hidden="1" customWidth="1"/>
    <col min="9532" max="9532" width="8.6640625" style="114"/>
    <col min="9533" max="9533" width="7.6640625" style="114" bestFit="1" customWidth="1"/>
    <col min="9534" max="9534" width="45.6640625" style="114" customWidth="1"/>
    <col min="9535" max="9535" width="16.44140625" style="114" customWidth="1"/>
    <col min="9536" max="9536" width="22.109375" style="114" customWidth="1"/>
    <col min="9537" max="9537" width="20.109375" style="114" customWidth="1"/>
    <col min="9538" max="9538" width="21.6640625" style="114" customWidth="1"/>
    <col min="9539" max="9539" width="16" style="114" customWidth="1"/>
    <col min="9540" max="9540" width="18.44140625" style="114" customWidth="1"/>
    <col min="9541" max="9541" width="21.6640625" style="114" customWidth="1"/>
    <col min="9542" max="9542" width="13.33203125" style="114" customWidth="1"/>
    <col min="9543" max="9543" width="28.33203125" style="114" customWidth="1"/>
    <col min="9544" max="9544" width="4.6640625" style="114" customWidth="1"/>
    <col min="9545" max="9545" width="7.6640625" style="114" bestFit="1" customWidth="1"/>
    <col min="9546" max="9546" width="45.6640625" style="114" customWidth="1"/>
    <col min="9547" max="9547" width="16.44140625" style="114" customWidth="1"/>
    <col min="9548" max="9548" width="22.109375" style="114" customWidth="1"/>
    <col min="9549" max="9549" width="20.109375" style="114" customWidth="1"/>
    <col min="9550" max="9550" width="21.6640625" style="114" customWidth="1"/>
    <col min="9551" max="9551" width="16" style="114" customWidth="1"/>
    <col min="9552" max="9552" width="18.44140625" style="114" customWidth="1"/>
    <col min="9553" max="9553" width="21.6640625" style="114" customWidth="1"/>
    <col min="9554" max="9554" width="13.33203125" style="114" customWidth="1"/>
    <col min="9555" max="9555" width="28.33203125" style="114" customWidth="1"/>
    <col min="9556" max="9579" width="0" style="114" hidden="1" customWidth="1"/>
    <col min="9580" max="9582" width="8.6640625" style="114"/>
    <col min="9583" max="9583" width="21" style="114" customWidth="1"/>
    <col min="9584" max="9672" width="8.6640625" style="114"/>
    <col min="9673" max="9673" width="30.88671875" style="114" customWidth="1"/>
    <col min="9674" max="9674" width="17.33203125" style="114" customWidth="1"/>
    <col min="9675" max="9676" width="0" style="114" hidden="1" customWidth="1"/>
    <col min="9677" max="9677" width="36.33203125" style="114" customWidth="1"/>
    <col min="9678" max="9689" width="7.33203125" style="114" customWidth="1"/>
    <col min="9690" max="9690" width="7.6640625" style="114" customWidth="1"/>
    <col min="9691" max="9699" width="7.33203125" style="114" customWidth="1"/>
    <col min="9700" max="9700" width="8.109375" style="114" customWidth="1"/>
    <col min="9701" max="9724" width="7.33203125" style="114" customWidth="1"/>
    <col min="9725" max="9773" width="0" style="114" hidden="1" customWidth="1"/>
    <col min="9774" max="9774" width="13.33203125" style="114" customWidth="1"/>
    <col min="9775" max="9776" width="8.6640625" style="114"/>
    <col min="9777" max="9787" width="0" style="114" hidden="1" customWidth="1"/>
    <col min="9788" max="9788" width="8.6640625" style="114"/>
    <col min="9789" max="9789" width="7.6640625" style="114" bestFit="1" customWidth="1"/>
    <col min="9790" max="9790" width="45.6640625" style="114" customWidth="1"/>
    <col min="9791" max="9791" width="16.44140625" style="114" customWidth="1"/>
    <col min="9792" max="9792" width="22.109375" style="114" customWidth="1"/>
    <col min="9793" max="9793" width="20.109375" style="114" customWidth="1"/>
    <col min="9794" max="9794" width="21.6640625" style="114" customWidth="1"/>
    <col min="9795" max="9795" width="16" style="114" customWidth="1"/>
    <col min="9796" max="9796" width="18.44140625" style="114" customWidth="1"/>
    <col min="9797" max="9797" width="21.6640625" style="114" customWidth="1"/>
    <col min="9798" max="9798" width="13.33203125" style="114" customWidth="1"/>
    <col min="9799" max="9799" width="28.33203125" style="114" customWidth="1"/>
    <col min="9800" max="9800" width="4.6640625" style="114" customWidth="1"/>
    <col min="9801" max="9801" width="7.6640625" style="114" bestFit="1" customWidth="1"/>
    <col min="9802" max="9802" width="45.6640625" style="114" customWidth="1"/>
    <col min="9803" max="9803" width="16.44140625" style="114" customWidth="1"/>
    <col min="9804" max="9804" width="22.109375" style="114" customWidth="1"/>
    <col min="9805" max="9805" width="20.109375" style="114" customWidth="1"/>
    <col min="9806" max="9806" width="21.6640625" style="114" customWidth="1"/>
    <col min="9807" max="9807" width="16" style="114" customWidth="1"/>
    <col min="9808" max="9808" width="18.44140625" style="114" customWidth="1"/>
    <col min="9809" max="9809" width="21.6640625" style="114" customWidth="1"/>
    <col min="9810" max="9810" width="13.33203125" style="114" customWidth="1"/>
    <col min="9811" max="9811" width="28.33203125" style="114" customWidth="1"/>
    <col min="9812" max="9835" width="0" style="114" hidden="1" customWidth="1"/>
    <col min="9836" max="9838" width="8.6640625" style="114"/>
    <col min="9839" max="9839" width="21" style="114" customWidth="1"/>
    <col min="9840" max="9928" width="8.6640625" style="114"/>
    <col min="9929" max="9929" width="30.88671875" style="114" customWidth="1"/>
    <col min="9930" max="9930" width="17.33203125" style="114" customWidth="1"/>
    <col min="9931" max="9932" width="0" style="114" hidden="1" customWidth="1"/>
    <col min="9933" max="9933" width="36.33203125" style="114" customWidth="1"/>
    <col min="9934" max="9945" width="7.33203125" style="114" customWidth="1"/>
    <col min="9946" max="9946" width="7.6640625" style="114" customWidth="1"/>
    <col min="9947" max="9955" width="7.33203125" style="114" customWidth="1"/>
    <col min="9956" max="9956" width="8.109375" style="114" customWidth="1"/>
    <col min="9957" max="9980" width="7.33203125" style="114" customWidth="1"/>
    <col min="9981" max="10029" width="0" style="114" hidden="1" customWidth="1"/>
    <col min="10030" max="10030" width="13.33203125" style="114" customWidth="1"/>
    <col min="10031" max="10032" width="8.6640625" style="114"/>
    <col min="10033" max="10043" width="0" style="114" hidden="1" customWidth="1"/>
    <col min="10044" max="10044" width="8.6640625" style="114"/>
    <col min="10045" max="10045" width="7.6640625" style="114" bestFit="1" customWidth="1"/>
    <col min="10046" max="10046" width="45.6640625" style="114" customWidth="1"/>
    <col min="10047" max="10047" width="16.44140625" style="114" customWidth="1"/>
    <col min="10048" max="10048" width="22.109375" style="114" customWidth="1"/>
    <col min="10049" max="10049" width="20.109375" style="114" customWidth="1"/>
    <col min="10050" max="10050" width="21.6640625" style="114" customWidth="1"/>
    <col min="10051" max="10051" width="16" style="114" customWidth="1"/>
    <col min="10052" max="10052" width="18.44140625" style="114" customWidth="1"/>
    <col min="10053" max="10053" width="21.6640625" style="114" customWidth="1"/>
    <col min="10054" max="10054" width="13.33203125" style="114" customWidth="1"/>
    <col min="10055" max="10055" width="28.33203125" style="114" customWidth="1"/>
    <col min="10056" max="10056" width="4.6640625" style="114" customWidth="1"/>
    <col min="10057" max="10057" width="7.6640625" style="114" bestFit="1" customWidth="1"/>
    <col min="10058" max="10058" width="45.6640625" style="114" customWidth="1"/>
    <col min="10059" max="10059" width="16.44140625" style="114" customWidth="1"/>
    <col min="10060" max="10060" width="22.109375" style="114" customWidth="1"/>
    <col min="10061" max="10061" width="20.109375" style="114" customWidth="1"/>
    <col min="10062" max="10062" width="21.6640625" style="114" customWidth="1"/>
    <col min="10063" max="10063" width="16" style="114" customWidth="1"/>
    <col min="10064" max="10064" width="18.44140625" style="114" customWidth="1"/>
    <col min="10065" max="10065" width="21.6640625" style="114" customWidth="1"/>
    <col min="10066" max="10066" width="13.33203125" style="114" customWidth="1"/>
    <col min="10067" max="10067" width="28.33203125" style="114" customWidth="1"/>
    <col min="10068" max="10091" width="0" style="114" hidden="1" customWidth="1"/>
    <col min="10092" max="10094" width="8.6640625" style="114"/>
    <col min="10095" max="10095" width="21" style="114" customWidth="1"/>
    <col min="10096" max="10184" width="8.6640625" style="114"/>
    <col min="10185" max="10185" width="30.88671875" style="114" customWidth="1"/>
    <col min="10186" max="10186" width="17.33203125" style="114" customWidth="1"/>
    <col min="10187" max="10188" width="0" style="114" hidden="1" customWidth="1"/>
    <col min="10189" max="10189" width="36.33203125" style="114" customWidth="1"/>
    <col min="10190" max="10201" width="7.33203125" style="114" customWidth="1"/>
    <col min="10202" max="10202" width="7.6640625" style="114" customWidth="1"/>
    <col min="10203" max="10211" width="7.33203125" style="114" customWidth="1"/>
    <col min="10212" max="10212" width="8.109375" style="114" customWidth="1"/>
    <col min="10213" max="10236" width="7.33203125" style="114" customWidth="1"/>
    <col min="10237" max="10285" width="0" style="114" hidden="1" customWidth="1"/>
    <col min="10286" max="10286" width="13.33203125" style="114" customWidth="1"/>
    <col min="10287" max="10288" width="8.6640625" style="114"/>
    <col min="10289" max="10299" width="0" style="114" hidden="1" customWidth="1"/>
    <col min="10300" max="10300" width="8.6640625" style="114"/>
    <col min="10301" max="10301" width="7.6640625" style="114" bestFit="1" customWidth="1"/>
    <col min="10302" max="10302" width="45.6640625" style="114" customWidth="1"/>
    <col min="10303" max="10303" width="16.44140625" style="114" customWidth="1"/>
    <col min="10304" max="10304" width="22.109375" style="114" customWidth="1"/>
    <col min="10305" max="10305" width="20.109375" style="114" customWidth="1"/>
    <col min="10306" max="10306" width="21.6640625" style="114" customWidth="1"/>
    <col min="10307" max="10307" width="16" style="114" customWidth="1"/>
    <col min="10308" max="10308" width="18.44140625" style="114" customWidth="1"/>
    <col min="10309" max="10309" width="21.6640625" style="114" customWidth="1"/>
    <col min="10310" max="10310" width="13.33203125" style="114" customWidth="1"/>
    <col min="10311" max="10311" width="28.33203125" style="114" customWidth="1"/>
    <col min="10312" max="10312" width="4.6640625" style="114" customWidth="1"/>
    <col min="10313" max="10313" width="7.6640625" style="114" bestFit="1" customWidth="1"/>
    <col min="10314" max="10314" width="45.6640625" style="114" customWidth="1"/>
    <col min="10315" max="10315" width="16.44140625" style="114" customWidth="1"/>
    <col min="10316" max="10316" width="22.109375" style="114" customWidth="1"/>
    <col min="10317" max="10317" width="20.109375" style="114" customWidth="1"/>
    <col min="10318" max="10318" width="21.6640625" style="114" customWidth="1"/>
    <col min="10319" max="10319" width="16" style="114" customWidth="1"/>
    <col min="10320" max="10320" width="18.44140625" style="114" customWidth="1"/>
    <col min="10321" max="10321" width="21.6640625" style="114" customWidth="1"/>
    <col min="10322" max="10322" width="13.33203125" style="114" customWidth="1"/>
    <col min="10323" max="10323" width="28.33203125" style="114" customWidth="1"/>
    <col min="10324" max="10347" width="0" style="114" hidden="1" customWidth="1"/>
    <col min="10348" max="10350" width="8.6640625" style="114"/>
    <col min="10351" max="10351" width="21" style="114" customWidth="1"/>
    <col min="10352" max="10440" width="8.6640625" style="114"/>
    <col min="10441" max="10441" width="30.88671875" style="114" customWidth="1"/>
    <col min="10442" max="10442" width="17.33203125" style="114" customWidth="1"/>
    <col min="10443" max="10444" width="0" style="114" hidden="1" customWidth="1"/>
    <col min="10445" max="10445" width="36.33203125" style="114" customWidth="1"/>
    <col min="10446" max="10457" width="7.33203125" style="114" customWidth="1"/>
    <col min="10458" max="10458" width="7.6640625" style="114" customWidth="1"/>
    <col min="10459" max="10467" width="7.33203125" style="114" customWidth="1"/>
    <col min="10468" max="10468" width="8.109375" style="114" customWidth="1"/>
    <col min="10469" max="10492" width="7.33203125" style="114" customWidth="1"/>
    <col min="10493" max="10541" width="0" style="114" hidden="1" customWidth="1"/>
    <col min="10542" max="10542" width="13.33203125" style="114" customWidth="1"/>
    <col min="10543" max="10544" width="8.6640625" style="114"/>
    <col min="10545" max="10555" width="0" style="114" hidden="1" customWidth="1"/>
    <col min="10556" max="10556" width="8.6640625" style="114"/>
    <col min="10557" max="10557" width="7.6640625" style="114" bestFit="1" customWidth="1"/>
    <col min="10558" max="10558" width="45.6640625" style="114" customWidth="1"/>
    <col min="10559" max="10559" width="16.44140625" style="114" customWidth="1"/>
    <col min="10560" max="10560" width="22.109375" style="114" customWidth="1"/>
    <col min="10561" max="10561" width="20.109375" style="114" customWidth="1"/>
    <col min="10562" max="10562" width="21.6640625" style="114" customWidth="1"/>
    <col min="10563" max="10563" width="16" style="114" customWidth="1"/>
    <col min="10564" max="10564" width="18.44140625" style="114" customWidth="1"/>
    <col min="10565" max="10565" width="21.6640625" style="114" customWidth="1"/>
    <col min="10566" max="10566" width="13.33203125" style="114" customWidth="1"/>
    <col min="10567" max="10567" width="28.33203125" style="114" customWidth="1"/>
    <col min="10568" max="10568" width="4.6640625" style="114" customWidth="1"/>
    <col min="10569" max="10569" width="7.6640625" style="114" bestFit="1" customWidth="1"/>
    <col min="10570" max="10570" width="45.6640625" style="114" customWidth="1"/>
    <col min="10571" max="10571" width="16.44140625" style="114" customWidth="1"/>
    <col min="10572" max="10572" width="22.109375" style="114" customWidth="1"/>
    <col min="10573" max="10573" width="20.109375" style="114" customWidth="1"/>
    <col min="10574" max="10574" width="21.6640625" style="114" customWidth="1"/>
    <col min="10575" max="10575" width="16" style="114" customWidth="1"/>
    <col min="10576" max="10576" width="18.44140625" style="114" customWidth="1"/>
    <col min="10577" max="10577" width="21.6640625" style="114" customWidth="1"/>
    <col min="10578" max="10578" width="13.33203125" style="114" customWidth="1"/>
    <col min="10579" max="10579" width="28.33203125" style="114" customWidth="1"/>
    <col min="10580" max="10603" width="0" style="114" hidden="1" customWidth="1"/>
    <col min="10604" max="10606" width="8.6640625" style="114"/>
    <col min="10607" max="10607" width="21" style="114" customWidth="1"/>
    <col min="10608" max="10696" width="8.6640625" style="114"/>
    <col min="10697" max="10697" width="30.88671875" style="114" customWidth="1"/>
    <col min="10698" max="10698" width="17.33203125" style="114" customWidth="1"/>
    <col min="10699" max="10700" width="0" style="114" hidden="1" customWidth="1"/>
    <col min="10701" max="10701" width="36.33203125" style="114" customWidth="1"/>
    <col min="10702" max="10713" width="7.33203125" style="114" customWidth="1"/>
    <col min="10714" max="10714" width="7.6640625" style="114" customWidth="1"/>
    <col min="10715" max="10723" width="7.33203125" style="114" customWidth="1"/>
    <col min="10724" max="10724" width="8.109375" style="114" customWidth="1"/>
    <col min="10725" max="10748" width="7.33203125" style="114" customWidth="1"/>
    <col min="10749" max="10797" width="0" style="114" hidden="1" customWidth="1"/>
    <col min="10798" max="10798" width="13.33203125" style="114" customWidth="1"/>
    <col min="10799" max="10800" width="8.6640625" style="114"/>
    <col min="10801" max="10811" width="0" style="114" hidden="1" customWidth="1"/>
    <col min="10812" max="10812" width="8.6640625" style="114"/>
    <col min="10813" max="10813" width="7.6640625" style="114" bestFit="1" customWidth="1"/>
    <col min="10814" max="10814" width="45.6640625" style="114" customWidth="1"/>
    <col min="10815" max="10815" width="16.44140625" style="114" customWidth="1"/>
    <col min="10816" max="10816" width="22.109375" style="114" customWidth="1"/>
    <col min="10817" max="10817" width="20.109375" style="114" customWidth="1"/>
    <col min="10818" max="10818" width="21.6640625" style="114" customWidth="1"/>
    <col min="10819" max="10819" width="16" style="114" customWidth="1"/>
    <col min="10820" max="10820" width="18.44140625" style="114" customWidth="1"/>
    <col min="10821" max="10821" width="21.6640625" style="114" customWidth="1"/>
    <col min="10822" max="10822" width="13.33203125" style="114" customWidth="1"/>
    <col min="10823" max="10823" width="28.33203125" style="114" customWidth="1"/>
    <col min="10824" max="10824" width="4.6640625" style="114" customWidth="1"/>
    <col min="10825" max="10825" width="7.6640625" style="114" bestFit="1" customWidth="1"/>
    <col min="10826" max="10826" width="45.6640625" style="114" customWidth="1"/>
    <col min="10827" max="10827" width="16.44140625" style="114" customWidth="1"/>
    <col min="10828" max="10828" width="22.109375" style="114" customWidth="1"/>
    <col min="10829" max="10829" width="20.109375" style="114" customWidth="1"/>
    <col min="10830" max="10830" width="21.6640625" style="114" customWidth="1"/>
    <col min="10831" max="10831" width="16" style="114" customWidth="1"/>
    <col min="10832" max="10832" width="18.44140625" style="114" customWidth="1"/>
    <col min="10833" max="10833" width="21.6640625" style="114" customWidth="1"/>
    <col min="10834" max="10834" width="13.33203125" style="114" customWidth="1"/>
    <col min="10835" max="10835" width="28.33203125" style="114" customWidth="1"/>
    <col min="10836" max="10859" width="0" style="114" hidden="1" customWidth="1"/>
    <col min="10860" max="10862" width="8.6640625" style="114"/>
    <col min="10863" max="10863" width="21" style="114" customWidth="1"/>
    <col min="10864" max="10952" width="8.6640625" style="114"/>
    <col min="10953" max="10953" width="30.88671875" style="114" customWidth="1"/>
    <col min="10954" max="10954" width="17.33203125" style="114" customWidth="1"/>
    <col min="10955" max="10956" width="0" style="114" hidden="1" customWidth="1"/>
    <col min="10957" max="10957" width="36.33203125" style="114" customWidth="1"/>
    <col min="10958" max="10969" width="7.33203125" style="114" customWidth="1"/>
    <col min="10970" max="10970" width="7.6640625" style="114" customWidth="1"/>
    <col min="10971" max="10979" width="7.33203125" style="114" customWidth="1"/>
    <col min="10980" max="10980" width="8.109375" style="114" customWidth="1"/>
    <col min="10981" max="11004" width="7.33203125" style="114" customWidth="1"/>
    <col min="11005" max="11053" width="0" style="114" hidden="1" customWidth="1"/>
    <col min="11054" max="11054" width="13.33203125" style="114" customWidth="1"/>
    <col min="11055" max="11056" width="8.6640625" style="114"/>
    <col min="11057" max="11067" width="0" style="114" hidden="1" customWidth="1"/>
    <col min="11068" max="11068" width="8.6640625" style="114"/>
    <col min="11069" max="11069" width="7.6640625" style="114" bestFit="1" customWidth="1"/>
    <col min="11070" max="11070" width="45.6640625" style="114" customWidth="1"/>
    <col min="11071" max="11071" width="16.44140625" style="114" customWidth="1"/>
    <col min="11072" max="11072" width="22.109375" style="114" customWidth="1"/>
    <col min="11073" max="11073" width="20.109375" style="114" customWidth="1"/>
    <col min="11074" max="11074" width="21.6640625" style="114" customWidth="1"/>
    <col min="11075" max="11075" width="16" style="114" customWidth="1"/>
    <col min="11076" max="11076" width="18.44140625" style="114" customWidth="1"/>
    <col min="11077" max="11077" width="21.6640625" style="114" customWidth="1"/>
    <col min="11078" max="11078" width="13.33203125" style="114" customWidth="1"/>
    <col min="11079" max="11079" width="28.33203125" style="114" customWidth="1"/>
    <col min="11080" max="11080" width="4.6640625" style="114" customWidth="1"/>
    <col min="11081" max="11081" width="7.6640625" style="114" bestFit="1" customWidth="1"/>
    <col min="11082" max="11082" width="45.6640625" style="114" customWidth="1"/>
    <col min="11083" max="11083" width="16.44140625" style="114" customWidth="1"/>
    <col min="11084" max="11084" width="22.109375" style="114" customWidth="1"/>
    <col min="11085" max="11085" width="20.109375" style="114" customWidth="1"/>
    <col min="11086" max="11086" width="21.6640625" style="114" customWidth="1"/>
    <col min="11087" max="11087" width="16" style="114" customWidth="1"/>
    <col min="11088" max="11088" width="18.44140625" style="114" customWidth="1"/>
    <col min="11089" max="11089" width="21.6640625" style="114" customWidth="1"/>
    <col min="11090" max="11090" width="13.33203125" style="114" customWidth="1"/>
    <col min="11091" max="11091" width="28.33203125" style="114" customWidth="1"/>
    <col min="11092" max="11115" width="0" style="114" hidden="1" customWidth="1"/>
    <col min="11116" max="11118" width="8.6640625" style="114"/>
    <col min="11119" max="11119" width="21" style="114" customWidth="1"/>
    <col min="11120" max="11208" width="8.6640625" style="114"/>
    <col min="11209" max="11209" width="30.88671875" style="114" customWidth="1"/>
    <col min="11210" max="11210" width="17.33203125" style="114" customWidth="1"/>
    <col min="11211" max="11212" width="0" style="114" hidden="1" customWidth="1"/>
    <col min="11213" max="11213" width="36.33203125" style="114" customWidth="1"/>
    <col min="11214" max="11225" width="7.33203125" style="114" customWidth="1"/>
    <col min="11226" max="11226" width="7.6640625" style="114" customWidth="1"/>
    <col min="11227" max="11235" width="7.33203125" style="114" customWidth="1"/>
    <col min="11236" max="11236" width="8.109375" style="114" customWidth="1"/>
    <col min="11237" max="11260" width="7.33203125" style="114" customWidth="1"/>
    <col min="11261" max="11309" width="0" style="114" hidden="1" customWidth="1"/>
    <col min="11310" max="11310" width="13.33203125" style="114" customWidth="1"/>
    <col min="11311" max="11312" width="8.6640625" style="114"/>
    <col min="11313" max="11323" width="0" style="114" hidden="1" customWidth="1"/>
    <col min="11324" max="11324" width="8.6640625" style="114"/>
    <col min="11325" max="11325" width="7.6640625" style="114" bestFit="1" customWidth="1"/>
    <col min="11326" max="11326" width="45.6640625" style="114" customWidth="1"/>
    <col min="11327" max="11327" width="16.44140625" style="114" customWidth="1"/>
    <col min="11328" max="11328" width="22.109375" style="114" customWidth="1"/>
    <col min="11329" max="11329" width="20.109375" style="114" customWidth="1"/>
    <col min="11330" max="11330" width="21.6640625" style="114" customWidth="1"/>
    <col min="11331" max="11331" width="16" style="114" customWidth="1"/>
    <col min="11332" max="11332" width="18.44140625" style="114" customWidth="1"/>
    <col min="11333" max="11333" width="21.6640625" style="114" customWidth="1"/>
    <col min="11334" max="11334" width="13.33203125" style="114" customWidth="1"/>
    <col min="11335" max="11335" width="28.33203125" style="114" customWidth="1"/>
    <col min="11336" max="11336" width="4.6640625" style="114" customWidth="1"/>
    <col min="11337" max="11337" width="7.6640625" style="114" bestFit="1" customWidth="1"/>
    <col min="11338" max="11338" width="45.6640625" style="114" customWidth="1"/>
    <col min="11339" max="11339" width="16.44140625" style="114" customWidth="1"/>
    <col min="11340" max="11340" width="22.109375" style="114" customWidth="1"/>
    <col min="11341" max="11341" width="20.109375" style="114" customWidth="1"/>
    <col min="11342" max="11342" width="21.6640625" style="114" customWidth="1"/>
    <col min="11343" max="11343" width="16" style="114" customWidth="1"/>
    <col min="11344" max="11344" width="18.44140625" style="114" customWidth="1"/>
    <col min="11345" max="11345" width="21.6640625" style="114" customWidth="1"/>
    <col min="11346" max="11346" width="13.33203125" style="114" customWidth="1"/>
    <col min="11347" max="11347" width="28.33203125" style="114" customWidth="1"/>
    <col min="11348" max="11371" width="0" style="114" hidden="1" customWidth="1"/>
    <col min="11372" max="11374" width="8.6640625" style="114"/>
    <col min="11375" max="11375" width="21" style="114" customWidth="1"/>
    <col min="11376" max="11464" width="8.6640625" style="114"/>
    <col min="11465" max="11465" width="30.88671875" style="114" customWidth="1"/>
    <col min="11466" max="11466" width="17.33203125" style="114" customWidth="1"/>
    <col min="11467" max="11468" width="0" style="114" hidden="1" customWidth="1"/>
    <col min="11469" max="11469" width="36.33203125" style="114" customWidth="1"/>
    <col min="11470" max="11481" width="7.33203125" style="114" customWidth="1"/>
    <col min="11482" max="11482" width="7.6640625" style="114" customWidth="1"/>
    <col min="11483" max="11491" width="7.33203125" style="114" customWidth="1"/>
    <col min="11492" max="11492" width="8.109375" style="114" customWidth="1"/>
    <col min="11493" max="11516" width="7.33203125" style="114" customWidth="1"/>
    <col min="11517" max="11565" width="0" style="114" hidden="1" customWidth="1"/>
    <col min="11566" max="11566" width="13.33203125" style="114" customWidth="1"/>
    <col min="11567" max="11568" width="8.6640625" style="114"/>
    <col min="11569" max="11579" width="0" style="114" hidden="1" customWidth="1"/>
    <col min="11580" max="11580" width="8.6640625" style="114"/>
    <col min="11581" max="11581" width="7.6640625" style="114" bestFit="1" customWidth="1"/>
    <col min="11582" max="11582" width="45.6640625" style="114" customWidth="1"/>
    <col min="11583" max="11583" width="16.44140625" style="114" customWidth="1"/>
    <col min="11584" max="11584" width="22.109375" style="114" customWidth="1"/>
    <col min="11585" max="11585" width="20.109375" style="114" customWidth="1"/>
    <col min="11586" max="11586" width="21.6640625" style="114" customWidth="1"/>
    <col min="11587" max="11587" width="16" style="114" customWidth="1"/>
    <col min="11588" max="11588" width="18.44140625" style="114" customWidth="1"/>
    <col min="11589" max="11589" width="21.6640625" style="114" customWidth="1"/>
    <col min="11590" max="11590" width="13.33203125" style="114" customWidth="1"/>
    <col min="11591" max="11591" width="28.33203125" style="114" customWidth="1"/>
    <col min="11592" max="11592" width="4.6640625" style="114" customWidth="1"/>
    <col min="11593" max="11593" width="7.6640625" style="114" bestFit="1" customWidth="1"/>
    <col min="11594" max="11594" width="45.6640625" style="114" customWidth="1"/>
    <col min="11595" max="11595" width="16.44140625" style="114" customWidth="1"/>
    <col min="11596" max="11596" width="22.109375" style="114" customWidth="1"/>
    <col min="11597" max="11597" width="20.109375" style="114" customWidth="1"/>
    <col min="11598" max="11598" width="21.6640625" style="114" customWidth="1"/>
    <col min="11599" max="11599" width="16" style="114" customWidth="1"/>
    <col min="11600" max="11600" width="18.44140625" style="114" customWidth="1"/>
    <col min="11601" max="11601" width="21.6640625" style="114" customWidth="1"/>
    <col min="11602" max="11602" width="13.33203125" style="114" customWidth="1"/>
    <col min="11603" max="11603" width="28.33203125" style="114" customWidth="1"/>
    <col min="11604" max="11627" width="0" style="114" hidden="1" customWidth="1"/>
    <col min="11628" max="11630" width="8.6640625" style="114"/>
    <col min="11631" max="11631" width="21" style="114" customWidth="1"/>
    <col min="11632" max="11720" width="8.6640625" style="114"/>
    <col min="11721" max="11721" width="30.88671875" style="114" customWidth="1"/>
    <col min="11722" max="11722" width="17.33203125" style="114" customWidth="1"/>
    <col min="11723" max="11724" width="0" style="114" hidden="1" customWidth="1"/>
    <col min="11725" max="11725" width="36.33203125" style="114" customWidth="1"/>
    <col min="11726" max="11737" width="7.33203125" style="114" customWidth="1"/>
    <col min="11738" max="11738" width="7.6640625" style="114" customWidth="1"/>
    <col min="11739" max="11747" width="7.33203125" style="114" customWidth="1"/>
    <col min="11748" max="11748" width="8.109375" style="114" customWidth="1"/>
    <col min="11749" max="11772" width="7.33203125" style="114" customWidth="1"/>
    <col min="11773" max="11821" width="0" style="114" hidden="1" customWidth="1"/>
    <col min="11822" max="11822" width="13.33203125" style="114" customWidth="1"/>
    <col min="11823" max="11824" width="8.6640625" style="114"/>
    <col min="11825" max="11835" width="0" style="114" hidden="1" customWidth="1"/>
    <col min="11836" max="11836" width="8.6640625" style="114"/>
    <col min="11837" max="11837" width="7.6640625" style="114" bestFit="1" customWidth="1"/>
    <col min="11838" max="11838" width="45.6640625" style="114" customWidth="1"/>
    <col min="11839" max="11839" width="16.44140625" style="114" customWidth="1"/>
    <col min="11840" max="11840" width="22.109375" style="114" customWidth="1"/>
    <col min="11841" max="11841" width="20.109375" style="114" customWidth="1"/>
    <col min="11842" max="11842" width="21.6640625" style="114" customWidth="1"/>
    <col min="11843" max="11843" width="16" style="114" customWidth="1"/>
    <col min="11844" max="11844" width="18.44140625" style="114" customWidth="1"/>
    <col min="11845" max="11845" width="21.6640625" style="114" customWidth="1"/>
    <col min="11846" max="11846" width="13.33203125" style="114" customWidth="1"/>
    <col min="11847" max="11847" width="28.33203125" style="114" customWidth="1"/>
    <col min="11848" max="11848" width="4.6640625" style="114" customWidth="1"/>
    <col min="11849" max="11849" width="7.6640625" style="114" bestFit="1" customWidth="1"/>
    <col min="11850" max="11850" width="45.6640625" style="114" customWidth="1"/>
    <col min="11851" max="11851" width="16.44140625" style="114" customWidth="1"/>
    <col min="11852" max="11852" width="22.109375" style="114" customWidth="1"/>
    <col min="11853" max="11853" width="20.109375" style="114" customWidth="1"/>
    <col min="11854" max="11854" width="21.6640625" style="114" customWidth="1"/>
    <col min="11855" max="11855" width="16" style="114" customWidth="1"/>
    <col min="11856" max="11856" width="18.44140625" style="114" customWidth="1"/>
    <col min="11857" max="11857" width="21.6640625" style="114" customWidth="1"/>
    <col min="11858" max="11858" width="13.33203125" style="114" customWidth="1"/>
    <col min="11859" max="11859" width="28.33203125" style="114" customWidth="1"/>
    <col min="11860" max="11883" width="0" style="114" hidden="1" customWidth="1"/>
    <col min="11884" max="11886" width="8.6640625" style="114"/>
    <col min="11887" max="11887" width="21" style="114" customWidth="1"/>
    <col min="11888" max="11976" width="8.6640625" style="114"/>
    <col min="11977" max="11977" width="30.88671875" style="114" customWidth="1"/>
    <col min="11978" max="11978" width="17.33203125" style="114" customWidth="1"/>
    <col min="11979" max="11980" width="0" style="114" hidden="1" customWidth="1"/>
    <col min="11981" max="11981" width="36.33203125" style="114" customWidth="1"/>
    <col min="11982" max="11993" width="7.33203125" style="114" customWidth="1"/>
    <col min="11994" max="11994" width="7.6640625" style="114" customWidth="1"/>
    <col min="11995" max="12003" width="7.33203125" style="114" customWidth="1"/>
    <col min="12004" max="12004" width="8.109375" style="114" customWidth="1"/>
    <col min="12005" max="12028" width="7.33203125" style="114" customWidth="1"/>
    <col min="12029" max="12077" width="0" style="114" hidden="1" customWidth="1"/>
    <col min="12078" max="12078" width="13.33203125" style="114" customWidth="1"/>
    <col min="12079" max="12080" width="8.6640625" style="114"/>
    <col min="12081" max="12091" width="0" style="114" hidden="1" customWidth="1"/>
    <col min="12092" max="12092" width="8.6640625" style="114"/>
    <col min="12093" max="12093" width="7.6640625" style="114" bestFit="1" customWidth="1"/>
    <col min="12094" max="12094" width="45.6640625" style="114" customWidth="1"/>
    <col min="12095" max="12095" width="16.44140625" style="114" customWidth="1"/>
    <col min="12096" max="12096" width="22.109375" style="114" customWidth="1"/>
    <col min="12097" max="12097" width="20.109375" style="114" customWidth="1"/>
    <col min="12098" max="12098" width="21.6640625" style="114" customWidth="1"/>
    <col min="12099" max="12099" width="16" style="114" customWidth="1"/>
    <col min="12100" max="12100" width="18.44140625" style="114" customWidth="1"/>
    <col min="12101" max="12101" width="21.6640625" style="114" customWidth="1"/>
    <col min="12102" max="12102" width="13.33203125" style="114" customWidth="1"/>
    <col min="12103" max="12103" width="28.33203125" style="114" customWidth="1"/>
    <col min="12104" max="12104" width="4.6640625" style="114" customWidth="1"/>
    <col min="12105" max="12105" width="7.6640625" style="114" bestFit="1" customWidth="1"/>
    <col min="12106" max="12106" width="45.6640625" style="114" customWidth="1"/>
    <col min="12107" max="12107" width="16.44140625" style="114" customWidth="1"/>
    <col min="12108" max="12108" width="22.109375" style="114" customWidth="1"/>
    <col min="12109" max="12109" width="20.109375" style="114" customWidth="1"/>
    <col min="12110" max="12110" width="21.6640625" style="114" customWidth="1"/>
    <col min="12111" max="12111" width="16" style="114" customWidth="1"/>
    <col min="12112" max="12112" width="18.44140625" style="114" customWidth="1"/>
    <col min="12113" max="12113" width="21.6640625" style="114" customWidth="1"/>
    <col min="12114" max="12114" width="13.33203125" style="114" customWidth="1"/>
    <col min="12115" max="12115" width="28.33203125" style="114" customWidth="1"/>
    <col min="12116" max="12139" width="0" style="114" hidden="1" customWidth="1"/>
    <col min="12140" max="12142" width="8.6640625" style="114"/>
    <col min="12143" max="12143" width="21" style="114" customWidth="1"/>
    <col min="12144" max="12232" width="8.6640625" style="114"/>
    <col min="12233" max="12233" width="30.88671875" style="114" customWidth="1"/>
    <col min="12234" max="12234" width="17.33203125" style="114" customWidth="1"/>
    <col min="12235" max="12236" width="0" style="114" hidden="1" customWidth="1"/>
    <col min="12237" max="12237" width="36.33203125" style="114" customWidth="1"/>
    <col min="12238" max="12249" width="7.33203125" style="114" customWidth="1"/>
    <col min="12250" max="12250" width="7.6640625" style="114" customWidth="1"/>
    <col min="12251" max="12259" width="7.33203125" style="114" customWidth="1"/>
    <col min="12260" max="12260" width="8.109375" style="114" customWidth="1"/>
    <col min="12261" max="12284" width="7.33203125" style="114" customWidth="1"/>
    <col min="12285" max="12333" width="0" style="114" hidden="1" customWidth="1"/>
    <col min="12334" max="12334" width="13.33203125" style="114" customWidth="1"/>
    <col min="12335" max="12336" width="8.6640625" style="114"/>
    <col min="12337" max="12347" width="0" style="114" hidden="1" customWidth="1"/>
    <col min="12348" max="12348" width="8.6640625" style="114"/>
    <col min="12349" max="12349" width="7.6640625" style="114" bestFit="1" customWidth="1"/>
    <col min="12350" max="12350" width="45.6640625" style="114" customWidth="1"/>
    <col min="12351" max="12351" width="16.44140625" style="114" customWidth="1"/>
    <col min="12352" max="12352" width="22.109375" style="114" customWidth="1"/>
    <col min="12353" max="12353" width="20.109375" style="114" customWidth="1"/>
    <col min="12354" max="12354" width="21.6640625" style="114" customWidth="1"/>
    <col min="12355" max="12355" width="16" style="114" customWidth="1"/>
    <col min="12356" max="12356" width="18.44140625" style="114" customWidth="1"/>
    <col min="12357" max="12357" width="21.6640625" style="114" customWidth="1"/>
    <col min="12358" max="12358" width="13.33203125" style="114" customWidth="1"/>
    <col min="12359" max="12359" width="28.33203125" style="114" customWidth="1"/>
    <col min="12360" max="12360" width="4.6640625" style="114" customWidth="1"/>
    <col min="12361" max="12361" width="7.6640625" style="114" bestFit="1" customWidth="1"/>
    <col min="12362" max="12362" width="45.6640625" style="114" customWidth="1"/>
    <col min="12363" max="12363" width="16.44140625" style="114" customWidth="1"/>
    <col min="12364" max="12364" width="22.109375" style="114" customWidth="1"/>
    <col min="12365" max="12365" width="20.109375" style="114" customWidth="1"/>
    <col min="12366" max="12366" width="21.6640625" style="114" customWidth="1"/>
    <col min="12367" max="12367" width="16" style="114" customWidth="1"/>
    <col min="12368" max="12368" width="18.44140625" style="114" customWidth="1"/>
    <col min="12369" max="12369" width="21.6640625" style="114" customWidth="1"/>
    <col min="12370" max="12370" width="13.33203125" style="114" customWidth="1"/>
    <col min="12371" max="12371" width="28.33203125" style="114" customWidth="1"/>
    <col min="12372" max="12395" width="0" style="114" hidden="1" customWidth="1"/>
    <col min="12396" max="12398" width="8.6640625" style="114"/>
    <col min="12399" max="12399" width="21" style="114" customWidth="1"/>
    <col min="12400" max="12488" width="8.6640625" style="114"/>
    <col min="12489" max="12489" width="30.88671875" style="114" customWidth="1"/>
    <col min="12490" max="12490" width="17.33203125" style="114" customWidth="1"/>
    <col min="12491" max="12492" width="0" style="114" hidden="1" customWidth="1"/>
    <col min="12493" max="12493" width="36.33203125" style="114" customWidth="1"/>
    <col min="12494" max="12505" width="7.33203125" style="114" customWidth="1"/>
    <col min="12506" max="12506" width="7.6640625" style="114" customWidth="1"/>
    <col min="12507" max="12515" width="7.33203125" style="114" customWidth="1"/>
    <col min="12516" max="12516" width="8.109375" style="114" customWidth="1"/>
    <col min="12517" max="12540" width="7.33203125" style="114" customWidth="1"/>
    <col min="12541" max="12589" width="0" style="114" hidden="1" customWidth="1"/>
    <col min="12590" max="12590" width="13.33203125" style="114" customWidth="1"/>
    <col min="12591" max="12592" width="8.6640625" style="114"/>
    <col min="12593" max="12603" width="0" style="114" hidden="1" customWidth="1"/>
    <col min="12604" max="12604" width="8.6640625" style="114"/>
    <col min="12605" max="12605" width="7.6640625" style="114" bestFit="1" customWidth="1"/>
    <col min="12606" max="12606" width="45.6640625" style="114" customWidth="1"/>
    <col min="12607" max="12607" width="16.44140625" style="114" customWidth="1"/>
    <col min="12608" max="12608" width="22.109375" style="114" customWidth="1"/>
    <col min="12609" max="12609" width="20.109375" style="114" customWidth="1"/>
    <col min="12610" max="12610" width="21.6640625" style="114" customWidth="1"/>
    <col min="12611" max="12611" width="16" style="114" customWidth="1"/>
    <col min="12612" max="12612" width="18.44140625" style="114" customWidth="1"/>
    <col min="12613" max="12613" width="21.6640625" style="114" customWidth="1"/>
    <col min="12614" max="12614" width="13.33203125" style="114" customWidth="1"/>
    <col min="12615" max="12615" width="28.33203125" style="114" customWidth="1"/>
    <col min="12616" max="12616" width="4.6640625" style="114" customWidth="1"/>
    <col min="12617" max="12617" width="7.6640625" style="114" bestFit="1" customWidth="1"/>
    <col min="12618" max="12618" width="45.6640625" style="114" customWidth="1"/>
    <col min="12619" max="12619" width="16.44140625" style="114" customWidth="1"/>
    <col min="12620" max="12620" width="22.109375" style="114" customWidth="1"/>
    <col min="12621" max="12621" width="20.109375" style="114" customWidth="1"/>
    <col min="12622" max="12622" width="21.6640625" style="114" customWidth="1"/>
    <col min="12623" max="12623" width="16" style="114" customWidth="1"/>
    <col min="12624" max="12624" width="18.44140625" style="114" customWidth="1"/>
    <col min="12625" max="12625" width="21.6640625" style="114" customWidth="1"/>
    <col min="12626" max="12626" width="13.33203125" style="114" customWidth="1"/>
    <col min="12627" max="12627" width="28.33203125" style="114" customWidth="1"/>
    <col min="12628" max="12651" width="0" style="114" hidden="1" customWidth="1"/>
    <col min="12652" max="12654" width="8.6640625" style="114"/>
    <col min="12655" max="12655" width="21" style="114" customWidth="1"/>
    <col min="12656" max="12744" width="8.6640625" style="114"/>
    <col min="12745" max="12745" width="30.88671875" style="114" customWidth="1"/>
    <col min="12746" max="12746" width="17.33203125" style="114" customWidth="1"/>
    <col min="12747" max="12748" width="0" style="114" hidden="1" customWidth="1"/>
    <col min="12749" max="12749" width="36.33203125" style="114" customWidth="1"/>
    <col min="12750" max="12761" width="7.33203125" style="114" customWidth="1"/>
    <col min="12762" max="12762" width="7.6640625" style="114" customWidth="1"/>
    <col min="12763" max="12771" width="7.33203125" style="114" customWidth="1"/>
    <col min="12772" max="12772" width="8.109375" style="114" customWidth="1"/>
    <col min="12773" max="12796" width="7.33203125" style="114" customWidth="1"/>
    <col min="12797" max="12845" width="0" style="114" hidden="1" customWidth="1"/>
    <col min="12846" max="12846" width="13.33203125" style="114" customWidth="1"/>
    <col min="12847" max="12848" width="8.6640625" style="114"/>
    <col min="12849" max="12859" width="0" style="114" hidden="1" customWidth="1"/>
    <col min="12860" max="12860" width="8.6640625" style="114"/>
    <col min="12861" max="12861" width="7.6640625" style="114" bestFit="1" customWidth="1"/>
    <col min="12862" max="12862" width="45.6640625" style="114" customWidth="1"/>
    <col min="12863" max="12863" width="16.44140625" style="114" customWidth="1"/>
    <col min="12864" max="12864" width="22.109375" style="114" customWidth="1"/>
    <col min="12865" max="12865" width="20.109375" style="114" customWidth="1"/>
    <col min="12866" max="12866" width="21.6640625" style="114" customWidth="1"/>
    <col min="12867" max="12867" width="16" style="114" customWidth="1"/>
    <col min="12868" max="12868" width="18.44140625" style="114" customWidth="1"/>
    <col min="12869" max="12869" width="21.6640625" style="114" customWidth="1"/>
    <col min="12870" max="12870" width="13.33203125" style="114" customWidth="1"/>
    <col min="12871" max="12871" width="28.33203125" style="114" customWidth="1"/>
    <col min="12872" max="12872" width="4.6640625" style="114" customWidth="1"/>
    <col min="12873" max="12873" width="7.6640625" style="114" bestFit="1" customWidth="1"/>
    <col min="12874" max="12874" width="45.6640625" style="114" customWidth="1"/>
    <col min="12875" max="12875" width="16.44140625" style="114" customWidth="1"/>
    <col min="12876" max="12876" width="22.109375" style="114" customWidth="1"/>
    <col min="12877" max="12877" width="20.109375" style="114" customWidth="1"/>
    <col min="12878" max="12878" width="21.6640625" style="114" customWidth="1"/>
    <col min="12879" max="12879" width="16" style="114" customWidth="1"/>
    <col min="12880" max="12880" width="18.44140625" style="114" customWidth="1"/>
    <col min="12881" max="12881" width="21.6640625" style="114" customWidth="1"/>
    <col min="12882" max="12882" width="13.33203125" style="114" customWidth="1"/>
    <col min="12883" max="12883" width="28.33203125" style="114" customWidth="1"/>
    <col min="12884" max="12907" width="0" style="114" hidden="1" customWidth="1"/>
    <col min="12908" max="12910" width="8.6640625" style="114"/>
    <col min="12911" max="12911" width="21" style="114" customWidth="1"/>
    <col min="12912" max="13000" width="8.6640625" style="114"/>
    <col min="13001" max="13001" width="30.88671875" style="114" customWidth="1"/>
    <col min="13002" max="13002" width="17.33203125" style="114" customWidth="1"/>
    <col min="13003" max="13004" width="0" style="114" hidden="1" customWidth="1"/>
    <col min="13005" max="13005" width="36.33203125" style="114" customWidth="1"/>
    <col min="13006" max="13017" width="7.33203125" style="114" customWidth="1"/>
    <col min="13018" max="13018" width="7.6640625" style="114" customWidth="1"/>
    <col min="13019" max="13027" width="7.33203125" style="114" customWidth="1"/>
    <col min="13028" max="13028" width="8.109375" style="114" customWidth="1"/>
    <col min="13029" max="13052" width="7.33203125" style="114" customWidth="1"/>
    <col min="13053" max="13101" width="0" style="114" hidden="1" customWidth="1"/>
    <col min="13102" max="13102" width="13.33203125" style="114" customWidth="1"/>
    <col min="13103" max="13104" width="8.6640625" style="114"/>
    <col min="13105" max="13115" width="0" style="114" hidden="1" customWidth="1"/>
    <col min="13116" max="13116" width="8.6640625" style="114"/>
    <col min="13117" max="13117" width="7.6640625" style="114" bestFit="1" customWidth="1"/>
    <col min="13118" max="13118" width="45.6640625" style="114" customWidth="1"/>
    <col min="13119" max="13119" width="16.44140625" style="114" customWidth="1"/>
    <col min="13120" max="13120" width="22.109375" style="114" customWidth="1"/>
    <col min="13121" max="13121" width="20.109375" style="114" customWidth="1"/>
    <col min="13122" max="13122" width="21.6640625" style="114" customWidth="1"/>
    <col min="13123" max="13123" width="16" style="114" customWidth="1"/>
    <col min="13124" max="13124" width="18.44140625" style="114" customWidth="1"/>
    <col min="13125" max="13125" width="21.6640625" style="114" customWidth="1"/>
    <col min="13126" max="13126" width="13.33203125" style="114" customWidth="1"/>
    <col min="13127" max="13127" width="28.33203125" style="114" customWidth="1"/>
    <col min="13128" max="13128" width="4.6640625" style="114" customWidth="1"/>
    <col min="13129" max="13129" width="7.6640625" style="114" bestFit="1" customWidth="1"/>
    <col min="13130" max="13130" width="45.6640625" style="114" customWidth="1"/>
    <col min="13131" max="13131" width="16.44140625" style="114" customWidth="1"/>
    <col min="13132" max="13132" width="22.109375" style="114" customWidth="1"/>
    <col min="13133" max="13133" width="20.109375" style="114" customWidth="1"/>
    <col min="13134" max="13134" width="21.6640625" style="114" customWidth="1"/>
    <col min="13135" max="13135" width="16" style="114" customWidth="1"/>
    <col min="13136" max="13136" width="18.44140625" style="114" customWidth="1"/>
    <col min="13137" max="13137" width="21.6640625" style="114" customWidth="1"/>
    <col min="13138" max="13138" width="13.33203125" style="114" customWidth="1"/>
    <col min="13139" max="13139" width="28.33203125" style="114" customWidth="1"/>
    <col min="13140" max="13163" width="0" style="114" hidden="1" customWidth="1"/>
    <col min="13164" max="13166" width="8.6640625" style="114"/>
    <col min="13167" max="13167" width="21" style="114" customWidth="1"/>
    <col min="13168" max="13256" width="8.6640625" style="114"/>
    <col min="13257" max="13257" width="30.88671875" style="114" customWidth="1"/>
    <col min="13258" max="13258" width="17.33203125" style="114" customWidth="1"/>
    <col min="13259" max="13260" width="0" style="114" hidden="1" customWidth="1"/>
    <col min="13261" max="13261" width="36.33203125" style="114" customWidth="1"/>
    <col min="13262" max="13273" width="7.33203125" style="114" customWidth="1"/>
    <col min="13274" max="13274" width="7.6640625" style="114" customWidth="1"/>
    <col min="13275" max="13283" width="7.33203125" style="114" customWidth="1"/>
    <col min="13284" max="13284" width="8.109375" style="114" customWidth="1"/>
    <col min="13285" max="13308" width="7.33203125" style="114" customWidth="1"/>
    <col min="13309" max="13357" width="0" style="114" hidden="1" customWidth="1"/>
    <col min="13358" max="13358" width="13.33203125" style="114" customWidth="1"/>
    <col min="13359" max="13360" width="8.6640625" style="114"/>
    <col min="13361" max="13371" width="0" style="114" hidden="1" customWidth="1"/>
    <col min="13372" max="13372" width="8.6640625" style="114"/>
    <col min="13373" max="13373" width="7.6640625" style="114" bestFit="1" customWidth="1"/>
    <col min="13374" max="13374" width="45.6640625" style="114" customWidth="1"/>
    <col min="13375" max="13375" width="16.44140625" style="114" customWidth="1"/>
    <col min="13376" max="13376" width="22.109375" style="114" customWidth="1"/>
    <col min="13377" max="13377" width="20.109375" style="114" customWidth="1"/>
    <col min="13378" max="13378" width="21.6640625" style="114" customWidth="1"/>
    <col min="13379" max="13379" width="16" style="114" customWidth="1"/>
    <col min="13380" max="13380" width="18.44140625" style="114" customWidth="1"/>
    <col min="13381" max="13381" width="21.6640625" style="114" customWidth="1"/>
    <col min="13382" max="13382" width="13.33203125" style="114" customWidth="1"/>
    <col min="13383" max="13383" width="28.33203125" style="114" customWidth="1"/>
    <col min="13384" max="13384" width="4.6640625" style="114" customWidth="1"/>
    <col min="13385" max="13385" width="7.6640625" style="114" bestFit="1" customWidth="1"/>
    <col min="13386" max="13386" width="45.6640625" style="114" customWidth="1"/>
    <col min="13387" max="13387" width="16.44140625" style="114" customWidth="1"/>
    <col min="13388" max="13388" width="22.109375" style="114" customWidth="1"/>
    <col min="13389" max="13389" width="20.109375" style="114" customWidth="1"/>
    <col min="13390" max="13390" width="21.6640625" style="114" customWidth="1"/>
    <col min="13391" max="13391" width="16" style="114" customWidth="1"/>
    <col min="13392" max="13392" width="18.44140625" style="114" customWidth="1"/>
    <col min="13393" max="13393" width="21.6640625" style="114" customWidth="1"/>
    <col min="13394" max="13394" width="13.33203125" style="114" customWidth="1"/>
    <col min="13395" max="13395" width="28.33203125" style="114" customWidth="1"/>
    <col min="13396" max="13419" width="0" style="114" hidden="1" customWidth="1"/>
    <col min="13420" max="13422" width="8.6640625" style="114"/>
    <col min="13423" max="13423" width="21" style="114" customWidth="1"/>
    <col min="13424" max="13512" width="8.6640625" style="114"/>
    <col min="13513" max="13513" width="30.88671875" style="114" customWidth="1"/>
    <col min="13514" max="13514" width="17.33203125" style="114" customWidth="1"/>
    <col min="13515" max="13516" width="0" style="114" hidden="1" customWidth="1"/>
    <col min="13517" max="13517" width="36.33203125" style="114" customWidth="1"/>
    <col min="13518" max="13529" width="7.33203125" style="114" customWidth="1"/>
    <col min="13530" max="13530" width="7.6640625" style="114" customWidth="1"/>
    <col min="13531" max="13539" width="7.33203125" style="114" customWidth="1"/>
    <col min="13540" max="13540" width="8.109375" style="114" customWidth="1"/>
    <col min="13541" max="13564" width="7.33203125" style="114" customWidth="1"/>
    <col min="13565" max="13613" width="0" style="114" hidden="1" customWidth="1"/>
    <col min="13614" max="13614" width="13.33203125" style="114" customWidth="1"/>
    <col min="13615" max="13616" width="8.6640625" style="114"/>
    <col min="13617" max="13627" width="0" style="114" hidden="1" customWidth="1"/>
    <col min="13628" max="13628" width="8.6640625" style="114"/>
    <col min="13629" max="13629" width="7.6640625" style="114" bestFit="1" customWidth="1"/>
    <col min="13630" max="13630" width="45.6640625" style="114" customWidth="1"/>
    <col min="13631" max="13631" width="16.44140625" style="114" customWidth="1"/>
    <col min="13632" max="13632" width="22.109375" style="114" customWidth="1"/>
    <col min="13633" max="13633" width="20.109375" style="114" customWidth="1"/>
    <col min="13634" max="13634" width="21.6640625" style="114" customWidth="1"/>
    <col min="13635" max="13635" width="16" style="114" customWidth="1"/>
    <col min="13636" max="13636" width="18.44140625" style="114" customWidth="1"/>
    <col min="13637" max="13637" width="21.6640625" style="114" customWidth="1"/>
    <col min="13638" max="13638" width="13.33203125" style="114" customWidth="1"/>
    <col min="13639" max="13639" width="28.33203125" style="114" customWidth="1"/>
    <col min="13640" max="13640" width="4.6640625" style="114" customWidth="1"/>
    <col min="13641" max="13641" width="7.6640625" style="114" bestFit="1" customWidth="1"/>
    <col min="13642" max="13642" width="45.6640625" style="114" customWidth="1"/>
    <col min="13643" max="13643" width="16.44140625" style="114" customWidth="1"/>
    <col min="13644" max="13644" width="22.109375" style="114" customWidth="1"/>
    <col min="13645" max="13645" width="20.109375" style="114" customWidth="1"/>
    <col min="13646" max="13646" width="21.6640625" style="114" customWidth="1"/>
    <col min="13647" max="13647" width="16" style="114" customWidth="1"/>
    <col min="13648" max="13648" width="18.44140625" style="114" customWidth="1"/>
    <col min="13649" max="13649" width="21.6640625" style="114" customWidth="1"/>
    <col min="13650" max="13650" width="13.33203125" style="114" customWidth="1"/>
    <col min="13651" max="13651" width="28.33203125" style="114" customWidth="1"/>
    <col min="13652" max="13675" width="0" style="114" hidden="1" customWidth="1"/>
    <col min="13676" max="13678" width="8.6640625" style="114"/>
    <col min="13679" max="13679" width="21" style="114" customWidth="1"/>
    <col min="13680" max="13768" width="8.6640625" style="114"/>
    <col min="13769" max="13769" width="30.88671875" style="114" customWidth="1"/>
    <col min="13770" max="13770" width="17.33203125" style="114" customWidth="1"/>
    <col min="13771" max="13772" width="0" style="114" hidden="1" customWidth="1"/>
    <col min="13773" max="13773" width="36.33203125" style="114" customWidth="1"/>
    <col min="13774" max="13785" width="7.33203125" style="114" customWidth="1"/>
    <col min="13786" max="13786" width="7.6640625" style="114" customWidth="1"/>
    <col min="13787" max="13795" width="7.33203125" style="114" customWidth="1"/>
    <col min="13796" max="13796" width="8.109375" style="114" customWidth="1"/>
    <col min="13797" max="13820" width="7.33203125" style="114" customWidth="1"/>
    <col min="13821" max="13869" width="0" style="114" hidden="1" customWidth="1"/>
    <col min="13870" max="13870" width="13.33203125" style="114" customWidth="1"/>
    <col min="13871" max="13872" width="8.6640625" style="114"/>
    <col min="13873" max="13883" width="0" style="114" hidden="1" customWidth="1"/>
    <col min="13884" max="13884" width="8.6640625" style="114"/>
    <col min="13885" max="13885" width="7.6640625" style="114" bestFit="1" customWidth="1"/>
    <col min="13886" max="13886" width="45.6640625" style="114" customWidth="1"/>
    <col min="13887" max="13887" width="16.44140625" style="114" customWidth="1"/>
    <col min="13888" max="13888" width="22.109375" style="114" customWidth="1"/>
    <col min="13889" max="13889" width="20.109375" style="114" customWidth="1"/>
    <col min="13890" max="13890" width="21.6640625" style="114" customWidth="1"/>
    <col min="13891" max="13891" width="16" style="114" customWidth="1"/>
    <col min="13892" max="13892" width="18.44140625" style="114" customWidth="1"/>
    <col min="13893" max="13893" width="21.6640625" style="114" customWidth="1"/>
    <col min="13894" max="13894" width="13.33203125" style="114" customWidth="1"/>
    <col min="13895" max="13895" width="28.33203125" style="114" customWidth="1"/>
    <col min="13896" max="13896" width="4.6640625" style="114" customWidth="1"/>
    <col min="13897" max="13897" width="7.6640625" style="114" bestFit="1" customWidth="1"/>
    <col min="13898" max="13898" width="45.6640625" style="114" customWidth="1"/>
    <col min="13899" max="13899" width="16.44140625" style="114" customWidth="1"/>
    <col min="13900" max="13900" width="22.109375" style="114" customWidth="1"/>
    <col min="13901" max="13901" width="20.109375" style="114" customWidth="1"/>
    <col min="13902" max="13902" width="21.6640625" style="114" customWidth="1"/>
    <col min="13903" max="13903" width="16" style="114" customWidth="1"/>
    <col min="13904" max="13904" width="18.44140625" style="114" customWidth="1"/>
    <col min="13905" max="13905" width="21.6640625" style="114" customWidth="1"/>
    <col min="13906" max="13906" width="13.33203125" style="114" customWidth="1"/>
    <col min="13907" max="13907" width="28.33203125" style="114" customWidth="1"/>
    <col min="13908" max="13931" width="0" style="114" hidden="1" customWidth="1"/>
    <col min="13932" max="13934" width="8.6640625" style="114"/>
    <col min="13935" max="13935" width="21" style="114" customWidth="1"/>
    <col min="13936" max="14024" width="8.6640625" style="114"/>
    <col min="14025" max="14025" width="30.88671875" style="114" customWidth="1"/>
    <col min="14026" max="14026" width="17.33203125" style="114" customWidth="1"/>
    <col min="14027" max="14028" width="0" style="114" hidden="1" customWidth="1"/>
    <col min="14029" max="14029" width="36.33203125" style="114" customWidth="1"/>
    <col min="14030" max="14041" width="7.33203125" style="114" customWidth="1"/>
    <col min="14042" max="14042" width="7.6640625" style="114" customWidth="1"/>
    <col min="14043" max="14051" width="7.33203125" style="114" customWidth="1"/>
    <col min="14052" max="14052" width="8.109375" style="114" customWidth="1"/>
    <col min="14053" max="14076" width="7.33203125" style="114" customWidth="1"/>
    <col min="14077" max="14125" width="0" style="114" hidden="1" customWidth="1"/>
    <col min="14126" max="14126" width="13.33203125" style="114" customWidth="1"/>
    <col min="14127" max="14128" width="8.6640625" style="114"/>
    <col min="14129" max="14139" width="0" style="114" hidden="1" customWidth="1"/>
    <col min="14140" max="14140" width="8.6640625" style="114"/>
    <col min="14141" max="14141" width="7.6640625" style="114" bestFit="1" customWidth="1"/>
    <col min="14142" max="14142" width="45.6640625" style="114" customWidth="1"/>
    <col min="14143" max="14143" width="16.44140625" style="114" customWidth="1"/>
    <col min="14144" max="14144" width="22.109375" style="114" customWidth="1"/>
    <col min="14145" max="14145" width="20.109375" style="114" customWidth="1"/>
    <col min="14146" max="14146" width="21.6640625" style="114" customWidth="1"/>
    <col min="14147" max="14147" width="16" style="114" customWidth="1"/>
    <col min="14148" max="14148" width="18.44140625" style="114" customWidth="1"/>
    <col min="14149" max="14149" width="21.6640625" style="114" customWidth="1"/>
    <col min="14150" max="14150" width="13.33203125" style="114" customWidth="1"/>
    <col min="14151" max="14151" width="28.33203125" style="114" customWidth="1"/>
    <col min="14152" max="14152" width="4.6640625" style="114" customWidth="1"/>
    <col min="14153" max="14153" width="7.6640625" style="114" bestFit="1" customWidth="1"/>
    <col min="14154" max="14154" width="45.6640625" style="114" customWidth="1"/>
    <col min="14155" max="14155" width="16.44140625" style="114" customWidth="1"/>
    <col min="14156" max="14156" width="22.109375" style="114" customWidth="1"/>
    <col min="14157" max="14157" width="20.109375" style="114" customWidth="1"/>
    <col min="14158" max="14158" width="21.6640625" style="114" customWidth="1"/>
    <col min="14159" max="14159" width="16" style="114" customWidth="1"/>
    <col min="14160" max="14160" width="18.44140625" style="114" customWidth="1"/>
    <col min="14161" max="14161" width="21.6640625" style="114" customWidth="1"/>
    <col min="14162" max="14162" width="13.33203125" style="114" customWidth="1"/>
    <col min="14163" max="14163" width="28.33203125" style="114" customWidth="1"/>
    <col min="14164" max="14187" width="0" style="114" hidden="1" customWidth="1"/>
    <col min="14188" max="14190" width="8.6640625" style="114"/>
    <col min="14191" max="14191" width="21" style="114" customWidth="1"/>
    <col min="14192" max="14280" width="8.6640625" style="114"/>
    <col min="14281" max="14281" width="30.88671875" style="114" customWidth="1"/>
    <col min="14282" max="14282" width="17.33203125" style="114" customWidth="1"/>
    <col min="14283" max="14284" width="0" style="114" hidden="1" customWidth="1"/>
    <col min="14285" max="14285" width="36.33203125" style="114" customWidth="1"/>
    <col min="14286" max="14297" width="7.33203125" style="114" customWidth="1"/>
    <col min="14298" max="14298" width="7.6640625" style="114" customWidth="1"/>
    <col min="14299" max="14307" width="7.33203125" style="114" customWidth="1"/>
    <col min="14308" max="14308" width="8.109375" style="114" customWidth="1"/>
    <col min="14309" max="14332" width="7.33203125" style="114" customWidth="1"/>
    <col min="14333" max="14381" width="0" style="114" hidden="1" customWidth="1"/>
    <col min="14382" max="14382" width="13.33203125" style="114" customWidth="1"/>
    <col min="14383" max="14384" width="8.6640625" style="114"/>
    <col min="14385" max="14395" width="0" style="114" hidden="1" customWidth="1"/>
    <col min="14396" max="14396" width="8.6640625" style="114"/>
    <col min="14397" max="14397" width="7.6640625" style="114" bestFit="1" customWidth="1"/>
    <col min="14398" max="14398" width="45.6640625" style="114" customWidth="1"/>
    <col min="14399" max="14399" width="16.44140625" style="114" customWidth="1"/>
    <col min="14400" max="14400" width="22.109375" style="114" customWidth="1"/>
    <col min="14401" max="14401" width="20.109375" style="114" customWidth="1"/>
    <col min="14402" max="14402" width="21.6640625" style="114" customWidth="1"/>
    <col min="14403" max="14403" width="16" style="114" customWidth="1"/>
    <col min="14404" max="14404" width="18.44140625" style="114" customWidth="1"/>
    <col min="14405" max="14405" width="21.6640625" style="114" customWidth="1"/>
    <col min="14406" max="14406" width="13.33203125" style="114" customWidth="1"/>
    <col min="14407" max="14407" width="28.33203125" style="114" customWidth="1"/>
    <col min="14408" max="14408" width="4.6640625" style="114" customWidth="1"/>
    <col min="14409" max="14409" width="7.6640625" style="114" bestFit="1" customWidth="1"/>
    <col min="14410" max="14410" width="45.6640625" style="114" customWidth="1"/>
    <col min="14411" max="14411" width="16.44140625" style="114" customWidth="1"/>
    <col min="14412" max="14412" width="22.109375" style="114" customWidth="1"/>
    <col min="14413" max="14413" width="20.109375" style="114" customWidth="1"/>
    <col min="14414" max="14414" width="21.6640625" style="114" customWidth="1"/>
    <col min="14415" max="14415" width="16" style="114" customWidth="1"/>
    <col min="14416" max="14416" width="18.44140625" style="114" customWidth="1"/>
    <col min="14417" max="14417" width="21.6640625" style="114" customWidth="1"/>
    <col min="14418" max="14418" width="13.33203125" style="114" customWidth="1"/>
    <col min="14419" max="14419" width="28.33203125" style="114" customWidth="1"/>
    <col min="14420" max="14443" width="0" style="114" hidden="1" customWidth="1"/>
    <col min="14444" max="14446" width="8.6640625" style="114"/>
    <col min="14447" max="14447" width="21" style="114" customWidth="1"/>
    <col min="14448" max="14536" width="8.6640625" style="114"/>
    <col min="14537" max="14537" width="30.88671875" style="114" customWidth="1"/>
    <col min="14538" max="14538" width="17.33203125" style="114" customWidth="1"/>
    <col min="14539" max="14540" width="0" style="114" hidden="1" customWidth="1"/>
    <col min="14541" max="14541" width="36.33203125" style="114" customWidth="1"/>
    <col min="14542" max="14553" width="7.33203125" style="114" customWidth="1"/>
    <col min="14554" max="14554" width="7.6640625" style="114" customWidth="1"/>
    <col min="14555" max="14563" width="7.33203125" style="114" customWidth="1"/>
    <col min="14564" max="14564" width="8.109375" style="114" customWidth="1"/>
    <col min="14565" max="14588" width="7.33203125" style="114" customWidth="1"/>
    <col min="14589" max="14637" width="0" style="114" hidden="1" customWidth="1"/>
    <col min="14638" max="14638" width="13.33203125" style="114" customWidth="1"/>
    <col min="14639" max="14640" width="8.6640625" style="114"/>
    <col min="14641" max="14651" width="0" style="114" hidden="1" customWidth="1"/>
    <col min="14652" max="14652" width="8.6640625" style="114"/>
    <col min="14653" max="14653" width="7.6640625" style="114" bestFit="1" customWidth="1"/>
    <col min="14654" max="14654" width="45.6640625" style="114" customWidth="1"/>
    <col min="14655" max="14655" width="16.44140625" style="114" customWidth="1"/>
    <col min="14656" max="14656" width="22.109375" style="114" customWidth="1"/>
    <col min="14657" max="14657" width="20.109375" style="114" customWidth="1"/>
    <col min="14658" max="14658" width="21.6640625" style="114" customWidth="1"/>
    <col min="14659" max="14659" width="16" style="114" customWidth="1"/>
    <col min="14660" max="14660" width="18.44140625" style="114" customWidth="1"/>
    <col min="14661" max="14661" width="21.6640625" style="114" customWidth="1"/>
    <col min="14662" max="14662" width="13.33203125" style="114" customWidth="1"/>
    <col min="14663" max="14663" width="28.33203125" style="114" customWidth="1"/>
    <col min="14664" max="14664" width="4.6640625" style="114" customWidth="1"/>
    <col min="14665" max="14665" width="7.6640625" style="114" bestFit="1" customWidth="1"/>
    <col min="14666" max="14666" width="45.6640625" style="114" customWidth="1"/>
    <col min="14667" max="14667" width="16.44140625" style="114" customWidth="1"/>
    <col min="14668" max="14668" width="22.109375" style="114" customWidth="1"/>
    <col min="14669" max="14669" width="20.109375" style="114" customWidth="1"/>
    <col min="14670" max="14670" width="21.6640625" style="114" customWidth="1"/>
    <col min="14671" max="14671" width="16" style="114" customWidth="1"/>
    <col min="14672" max="14672" width="18.44140625" style="114" customWidth="1"/>
    <col min="14673" max="14673" width="21.6640625" style="114" customWidth="1"/>
    <col min="14674" max="14674" width="13.33203125" style="114" customWidth="1"/>
    <col min="14675" max="14675" width="28.33203125" style="114" customWidth="1"/>
    <col min="14676" max="14699" width="0" style="114" hidden="1" customWidth="1"/>
    <col min="14700" max="14702" width="8.6640625" style="114"/>
    <col min="14703" max="14703" width="21" style="114" customWidth="1"/>
    <col min="14704" max="14792" width="8.6640625" style="114"/>
    <col min="14793" max="14793" width="30.88671875" style="114" customWidth="1"/>
    <col min="14794" max="14794" width="17.33203125" style="114" customWidth="1"/>
    <col min="14795" max="14796" width="0" style="114" hidden="1" customWidth="1"/>
    <col min="14797" max="14797" width="36.33203125" style="114" customWidth="1"/>
    <col min="14798" max="14809" width="7.33203125" style="114" customWidth="1"/>
    <col min="14810" max="14810" width="7.6640625" style="114" customWidth="1"/>
    <col min="14811" max="14819" width="7.33203125" style="114" customWidth="1"/>
    <col min="14820" max="14820" width="8.109375" style="114" customWidth="1"/>
    <col min="14821" max="14844" width="7.33203125" style="114" customWidth="1"/>
    <col min="14845" max="14893" width="0" style="114" hidden="1" customWidth="1"/>
    <col min="14894" max="14894" width="13.33203125" style="114" customWidth="1"/>
    <col min="14895" max="14896" width="8.6640625" style="114"/>
    <col min="14897" max="14907" width="0" style="114" hidden="1" customWidth="1"/>
    <col min="14908" max="14908" width="8.6640625" style="114"/>
    <col min="14909" max="14909" width="7.6640625" style="114" bestFit="1" customWidth="1"/>
    <col min="14910" max="14910" width="45.6640625" style="114" customWidth="1"/>
    <col min="14911" max="14911" width="16.44140625" style="114" customWidth="1"/>
    <col min="14912" max="14912" width="22.109375" style="114" customWidth="1"/>
    <col min="14913" max="14913" width="20.109375" style="114" customWidth="1"/>
    <col min="14914" max="14914" width="21.6640625" style="114" customWidth="1"/>
    <col min="14915" max="14915" width="16" style="114" customWidth="1"/>
    <col min="14916" max="14916" width="18.44140625" style="114" customWidth="1"/>
    <col min="14917" max="14917" width="21.6640625" style="114" customWidth="1"/>
    <col min="14918" max="14918" width="13.33203125" style="114" customWidth="1"/>
    <col min="14919" max="14919" width="28.33203125" style="114" customWidth="1"/>
    <col min="14920" max="14920" width="4.6640625" style="114" customWidth="1"/>
    <col min="14921" max="14921" width="7.6640625" style="114" bestFit="1" customWidth="1"/>
    <col min="14922" max="14922" width="45.6640625" style="114" customWidth="1"/>
    <col min="14923" max="14923" width="16.44140625" style="114" customWidth="1"/>
    <col min="14924" max="14924" width="22.109375" style="114" customWidth="1"/>
    <col min="14925" max="14925" width="20.109375" style="114" customWidth="1"/>
    <col min="14926" max="14926" width="21.6640625" style="114" customWidth="1"/>
    <col min="14927" max="14927" width="16" style="114" customWidth="1"/>
    <col min="14928" max="14928" width="18.44140625" style="114" customWidth="1"/>
    <col min="14929" max="14929" width="21.6640625" style="114" customWidth="1"/>
    <col min="14930" max="14930" width="13.33203125" style="114" customWidth="1"/>
    <col min="14931" max="14931" width="28.33203125" style="114" customWidth="1"/>
    <col min="14932" max="14955" width="0" style="114" hidden="1" customWidth="1"/>
    <col min="14956" max="14958" width="8.6640625" style="114"/>
    <col min="14959" max="14959" width="21" style="114" customWidth="1"/>
    <col min="14960" max="15048" width="8.6640625" style="114"/>
    <col min="15049" max="15049" width="30.88671875" style="114" customWidth="1"/>
    <col min="15050" max="15050" width="17.33203125" style="114" customWidth="1"/>
    <col min="15051" max="15052" width="0" style="114" hidden="1" customWidth="1"/>
    <col min="15053" max="15053" width="36.33203125" style="114" customWidth="1"/>
    <col min="15054" max="15065" width="7.33203125" style="114" customWidth="1"/>
    <col min="15066" max="15066" width="7.6640625" style="114" customWidth="1"/>
    <col min="15067" max="15075" width="7.33203125" style="114" customWidth="1"/>
    <col min="15076" max="15076" width="8.109375" style="114" customWidth="1"/>
    <col min="15077" max="15100" width="7.33203125" style="114" customWidth="1"/>
    <col min="15101" max="15149" width="0" style="114" hidden="1" customWidth="1"/>
    <col min="15150" max="15150" width="13.33203125" style="114" customWidth="1"/>
    <col min="15151" max="15152" width="8.6640625" style="114"/>
    <col min="15153" max="15163" width="0" style="114" hidden="1" customWidth="1"/>
    <col min="15164" max="15164" width="8.6640625" style="114"/>
    <col min="15165" max="15165" width="7.6640625" style="114" bestFit="1" customWidth="1"/>
    <col min="15166" max="15166" width="45.6640625" style="114" customWidth="1"/>
    <col min="15167" max="15167" width="16.44140625" style="114" customWidth="1"/>
    <col min="15168" max="15168" width="22.109375" style="114" customWidth="1"/>
    <col min="15169" max="15169" width="20.109375" style="114" customWidth="1"/>
    <col min="15170" max="15170" width="21.6640625" style="114" customWidth="1"/>
    <col min="15171" max="15171" width="16" style="114" customWidth="1"/>
    <col min="15172" max="15172" width="18.44140625" style="114" customWidth="1"/>
    <col min="15173" max="15173" width="21.6640625" style="114" customWidth="1"/>
    <col min="15174" max="15174" width="13.33203125" style="114" customWidth="1"/>
    <col min="15175" max="15175" width="28.33203125" style="114" customWidth="1"/>
    <col min="15176" max="15176" width="4.6640625" style="114" customWidth="1"/>
    <col min="15177" max="15177" width="7.6640625" style="114" bestFit="1" customWidth="1"/>
    <col min="15178" max="15178" width="45.6640625" style="114" customWidth="1"/>
    <col min="15179" max="15179" width="16.44140625" style="114" customWidth="1"/>
    <col min="15180" max="15180" width="22.109375" style="114" customWidth="1"/>
    <col min="15181" max="15181" width="20.109375" style="114" customWidth="1"/>
    <col min="15182" max="15182" width="21.6640625" style="114" customWidth="1"/>
    <col min="15183" max="15183" width="16" style="114" customWidth="1"/>
    <col min="15184" max="15184" width="18.44140625" style="114" customWidth="1"/>
    <col min="15185" max="15185" width="21.6640625" style="114" customWidth="1"/>
    <col min="15186" max="15186" width="13.33203125" style="114" customWidth="1"/>
    <col min="15187" max="15187" width="28.33203125" style="114" customWidth="1"/>
    <col min="15188" max="15211" width="0" style="114" hidden="1" customWidth="1"/>
    <col min="15212" max="15214" width="8.6640625" style="114"/>
    <col min="15215" max="15215" width="21" style="114" customWidth="1"/>
    <col min="15216" max="15304" width="8.6640625" style="114"/>
    <col min="15305" max="15305" width="30.88671875" style="114" customWidth="1"/>
    <col min="15306" max="15306" width="17.33203125" style="114" customWidth="1"/>
    <col min="15307" max="15308" width="0" style="114" hidden="1" customWidth="1"/>
    <col min="15309" max="15309" width="36.33203125" style="114" customWidth="1"/>
    <col min="15310" max="15321" width="7.33203125" style="114" customWidth="1"/>
    <col min="15322" max="15322" width="7.6640625" style="114" customWidth="1"/>
    <col min="15323" max="15331" width="7.33203125" style="114" customWidth="1"/>
    <col min="15332" max="15332" width="8.109375" style="114" customWidth="1"/>
    <col min="15333" max="15356" width="7.33203125" style="114" customWidth="1"/>
    <col min="15357" max="15405" width="0" style="114" hidden="1" customWidth="1"/>
    <col min="15406" max="15406" width="13.33203125" style="114" customWidth="1"/>
    <col min="15407" max="15408" width="8.6640625" style="114"/>
    <col min="15409" max="15419" width="0" style="114" hidden="1" customWidth="1"/>
    <col min="15420" max="15420" width="8.6640625" style="114"/>
    <col min="15421" max="15421" width="7.6640625" style="114" bestFit="1" customWidth="1"/>
    <col min="15422" max="15422" width="45.6640625" style="114" customWidth="1"/>
    <col min="15423" max="15423" width="16.44140625" style="114" customWidth="1"/>
    <col min="15424" max="15424" width="22.109375" style="114" customWidth="1"/>
    <col min="15425" max="15425" width="20.109375" style="114" customWidth="1"/>
    <col min="15426" max="15426" width="21.6640625" style="114" customWidth="1"/>
    <col min="15427" max="15427" width="16" style="114" customWidth="1"/>
    <col min="15428" max="15428" width="18.44140625" style="114" customWidth="1"/>
    <col min="15429" max="15429" width="21.6640625" style="114" customWidth="1"/>
    <col min="15430" max="15430" width="13.33203125" style="114" customWidth="1"/>
    <col min="15431" max="15431" width="28.33203125" style="114" customWidth="1"/>
    <col min="15432" max="15432" width="4.6640625" style="114" customWidth="1"/>
    <col min="15433" max="15433" width="7.6640625" style="114" bestFit="1" customWidth="1"/>
    <col min="15434" max="15434" width="45.6640625" style="114" customWidth="1"/>
    <col min="15435" max="15435" width="16.44140625" style="114" customWidth="1"/>
    <col min="15436" max="15436" width="22.109375" style="114" customWidth="1"/>
    <col min="15437" max="15437" width="20.109375" style="114" customWidth="1"/>
    <col min="15438" max="15438" width="21.6640625" style="114" customWidth="1"/>
    <col min="15439" max="15439" width="16" style="114" customWidth="1"/>
    <col min="15440" max="15440" width="18.44140625" style="114" customWidth="1"/>
    <col min="15441" max="15441" width="21.6640625" style="114" customWidth="1"/>
    <col min="15442" max="15442" width="13.33203125" style="114" customWidth="1"/>
    <col min="15443" max="15443" width="28.33203125" style="114" customWidth="1"/>
    <col min="15444" max="15467" width="0" style="114" hidden="1" customWidth="1"/>
    <col min="15468" max="15470" width="8.6640625" style="114"/>
    <col min="15471" max="15471" width="21" style="114" customWidth="1"/>
    <col min="15472" max="15560" width="8.6640625" style="114"/>
    <col min="15561" max="15561" width="30.88671875" style="114" customWidth="1"/>
    <col min="15562" max="15562" width="17.33203125" style="114" customWidth="1"/>
    <col min="15563" max="15564" width="0" style="114" hidden="1" customWidth="1"/>
    <col min="15565" max="15565" width="36.33203125" style="114" customWidth="1"/>
    <col min="15566" max="15577" width="7.33203125" style="114" customWidth="1"/>
    <col min="15578" max="15578" width="7.6640625" style="114" customWidth="1"/>
    <col min="15579" max="15587" width="7.33203125" style="114" customWidth="1"/>
    <col min="15588" max="15588" width="8.109375" style="114" customWidth="1"/>
    <col min="15589" max="15612" width="7.33203125" style="114" customWidth="1"/>
    <col min="15613" max="15661" width="0" style="114" hidden="1" customWidth="1"/>
    <col min="15662" max="15662" width="13.33203125" style="114" customWidth="1"/>
    <col min="15663" max="15664" width="8.6640625" style="114"/>
    <col min="15665" max="15675" width="0" style="114" hidden="1" customWidth="1"/>
    <col min="15676" max="15676" width="8.6640625" style="114"/>
    <col min="15677" max="15677" width="7.6640625" style="114" bestFit="1" customWidth="1"/>
    <col min="15678" max="15678" width="45.6640625" style="114" customWidth="1"/>
    <col min="15679" max="15679" width="16.44140625" style="114" customWidth="1"/>
    <col min="15680" max="15680" width="22.109375" style="114" customWidth="1"/>
    <col min="15681" max="15681" width="20.109375" style="114" customWidth="1"/>
    <col min="15682" max="15682" width="21.6640625" style="114" customWidth="1"/>
    <col min="15683" max="15683" width="16" style="114" customWidth="1"/>
    <col min="15684" max="15684" width="18.44140625" style="114" customWidth="1"/>
    <col min="15685" max="15685" width="21.6640625" style="114" customWidth="1"/>
    <col min="15686" max="15686" width="13.33203125" style="114" customWidth="1"/>
    <col min="15687" max="15687" width="28.33203125" style="114" customWidth="1"/>
    <col min="15688" max="15688" width="4.6640625" style="114" customWidth="1"/>
    <col min="15689" max="15689" width="7.6640625" style="114" bestFit="1" customWidth="1"/>
    <col min="15690" max="15690" width="45.6640625" style="114" customWidth="1"/>
    <col min="15691" max="15691" width="16.44140625" style="114" customWidth="1"/>
    <col min="15692" max="15692" width="22.109375" style="114" customWidth="1"/>
    <col min="15693" max="15693" width="20.109375" style="114" customWidth="1"/>
    <col min="15694" max="15694" width="21.6640625" style="114" customWidth="1"/>
    <col min="15695" max="15695" width="16" style="114" customWidth="1"/>
    <col min="15696" max="15696" width="18.44140625" style="114" customWidth="1"/>
    <col min="15697" max="15697" width="21.6640625" style="114" customWidth="1"/>
    <col min="15698" max="15698" width="13.33203125" style="114" customWidth="1"/>
    <col min="15699" max="15699" width="28.33203125" style="114" customWidth="1"/>
    <col min="15700" max="15723" width="0" style="114" hidden="1" customWidth="1"/>
    <col min="15724" max="15726" width="8.6640625" style="114"/>
    <col min="15727" max="15727" width="21" style="114" customWidth="1"/>
    <col min="15728" max="15816" width="8.6640625" style="114"/>
    <col min="15817" max="15817" width="30.88671875" style="114" customWidth="1"/>
    <col min="15818" max="15818" width="17.33203125" style="114" customWidth="1"/>
    <col min="15819" max="15820" width="0" style="114" hidden="1" customWidth="1"/>
    <col min="15821" max="15821" width="36.33203125" style="114" customWidth="1"/>
    <col min="15822" max="15833" width="7.33203125" style="114" customWidth="1"/>
    <col min="15834" max="15834" width="7.6640625" style="114" customWidth="1"/>
    <col min="15835" max="15843" width="7.33203125" style="114" customWidth="1"/>
    <col min="15844" max="15844" width="8.109375" style="114" customWidth="1"/>
    <col min="15845" max="15868" width="7.33203125" style="114" customWidth="1"/>
    <col min="15869" max="15917" width="0" style="114" hidden="1" customWidth="1"/>
    <col min="15918" max="15918" width="13.33203125" style="114" customWidth="1"/>
    <col min="15919" max="15920" width="8.6640625" style="114"/>
    <col min="15921" max="15931" width="0" style="114" hidden="1" customWidth="1"/>
    <col min="15932" max="15932" width="8.6640625" style="114"/>
    <col min="15933" max="15933" width="7.6640625" style="114" bestFit="1" customWidth="1"/>
    <col min="15934" max="15934" width="45.6640625" style="114" customWidth="1"/>
    <col min="15935" max="15935" width="16.44140625" style="114" customWidth="1"/>
    <col min="15936" max="15936" width="22.109375" style="114" customWidth="1"/>
    <col min="15937" max="15937" width="20.109375" style="114" customWidth="1"/>
    <col min="15938" max="15938" width="21.6640625" style="114" customWidth="1"/>
    <col min="15939" max="15939" width="16" style="114" customWidth="1"/>
    <col min="15940" max="15940" width="18.44140625" style="114" customWidth="1"/>
    <col min="15941" max="15941" width="21.6640625" style="114" customWidth="1"/>
    <col min="15942" max="15942" width="13.33203125" style="114" customWidth="1"/>
    <col min="15943" max="15943" width="28.33203125" style="114" customWidth="1"/>
    <col min="15944" max="15944" width="4.6640625" style="114" customWidth="1"/>
    <col min="15945" max="15945" width="7.6640625" style="114" bestFit="1" customWidth="1"/>
    <col min="15946" max="15946" width="45.6640625" style="114" customWidth="1"/>
    <col min="15947" max="15947" width="16.44140625" style="114" customWidth="1"/>
    <col min="15948" max="15948" width="22.109375" style="114" customWidth="1"/>
    <col min="15949" max="15949" width="20.109375" style="114" customWidth="1"/>
    <col min="15950" max="15950" width="21.6640625" style="114" customWidth="1"/>
    <col min="15951" max="15951" width="16" style="114" customWidth="1"/>
    <col min="15952" max="15952" width="18.44140625" style="114" customWidth="1"/>
    <col min="15953" max="15953" width="21.6640625" style="114" customWidth="1"/>
    <col min="15954" max="15954" width="13.33203125" style="114" customWidth="1"/>
    <col min="15955" max="15955" width="28.33203125" style="114" customWidth="1"/>
    <col min="15956" max="15979" width="0" style="114" hidden="1" customWidth="1"/>
    <col min="15980" max="15982" width="8.6640625" style="114"/>
    <col min="15983" max="15983" width="21" style="114" customWidth="1"/>
    <col min="15984" max="16072" width="8.6640625" style="114"/>
    <col min="16073" max="16073" width="30.88671875" style="114" customWidth="1"/>
    <col min="16074" max="16074" width="17.33203125" style="114" customWidth="1"/>
    <col min="16075" max="16076" width="0" style="114" hidden="1" customWidth="1"/>
    <col min="16077" max="16077" width="36.33203125" style="114" customWidth="1"/>
    <col min="16078" max="16089" width="7.33203125" style="114" customWidth="1"/>
    <col min="16090" max="16090" width="7.6640625" style="114" customWidth="1"/>
    <col min="16091" max="16099" width="7.33203125" style="114" customWidth="1"/>
    <col min="16100" max="16100" width="8.109375" style="114" customWidth="1"/>
    <col min="16101" max="16124" width="7.33203125" style="114" customWidth="1"/>
    <col min="16125" max="16173" width="0" style="114" hidden="1" customWidth="1"/>
    <col min="16174" max="16174" width="13.33203125" style="114" customWidth="1"/>
    <col min="16175" max="16176" width="8.6640625" style="114"/>
    <col min="16177" max="16187" width="0" style="114" hidden="1" customWidth="1"/>
    <col min="16188" max="16188" width="8.6640625" style="114"/>
    <col min="16189" max="16189" width="7.6640625" style="114" bestFit="1" customWidth="1"/>
    <col min="16190" max="16190" width="45.6640625" style="114" customWidth="1"/>
    <col min="16191" max="16191" width="16.44140625" style="114" customWidth="1"/>
    <col min="16192" max="16192" width="22.109375" style="114" customWidth="1"/>
    <col min="16193" max="16193" width="20.109375" style="114" customWidth="1"/>
    <col min="16194" max="16194" width="21.6640625" style="114" customWidth="1"/>
    <col min="16195" max="16195" width="16" style="114" customWidth="1"/>
    <col min="16196" max="16196" width="18.44140625" style="114" customWidth="1"/>
    <col min="16197" max="16197" width="21.6640625" style="114" customWidth="1"/>
    <col min="16198" max="16198" width="13.33203125" style="114" customWidth="1"/>
    <col min="16199" max="16199" width="28.33203125" style="114" customWidth="1"/>
    <col min="16200" max="16200" width="4.6640625" style="114" customWidth="1"/>
    <col min="16201" max="16201" width="7.6640625" style="114" bestFit="1" customWidth="1"/>
    <col min="16202" max="16202" width="45.6640625" style="114" customWidth="1"/>
    <col min="16203" max="16203" width="16.44140625" style="114" customWidth="1"/>
    <col min="16204" max="16204" width="22.109375" style="114" customWidth="1"/>
    <col min="16205" max="16205" width="20.109375" style="114" customWidth="1"/>
    <col min="16206" max="16206" width="21.6640625" style="114" customWidth="1"/>
    <col min="16207" max="16207" width="16" style="114" customWidth="1"/>
    <col min="16208" max="16208" width="18.44140625" style="114" customWidth="1"/>
    <col min="16209" max="16209" width="21.6640625" style="114" customWidth="1"/>
    <col min="16210" max="16210" width="13.33203125" style="114" customWidth="1"/>
    <col min="16211" max="16211" width="28.33203125" style="114" customWidth="1"/>
    <col min="16212" max="16235" width="0" style="114" hidden="1" customWidth="1"/>
    <col min="16236" max="16238" width="8.6640625" style="114"/>
    <col min="16239" max="16239" width="21" style="114" customWidth="1"/>
    <col min="16240" max="16384" width="8.6640625" style="114"/>
  </cols>
  <sheetData>
    <row r="1" spans="1:112" ht="25.35" hidden="1" customHeight="1" x14ac:dyDescent="0.3"/>
    <row r="2" spans="1:112" ht="24.6" hidden="1" customHeight="1" x14ac:dyDescent="0.3">
      <c r="DB2" s="568" t="s">
        <v>866</v>
      </c>
      <c r="DC2" s="1024" t="s">
        <v>867</v>
      </c>
      <c r="DD2" s="1024"/>
    </row>
    <row r="3" spans="1:112" ht="20.100000000000001" hidden="1" customHeight="1" x14ac:dyDescent="0.3">
      <c r="DB3" s="569" t="e">
        <f>#REF!</f>
        <v>#REF!</v>
      </c>
      <c r="DC3" s="570" t="s">
        <v>626</v>
      </c>
      <c r="DD3" s="571">
        <v>0.5</v>
      </c>
    </row>
    <row r="4" spans="1:112" ht="20.100000000000001" hidden="1" customHeight="1" x14ac:dyDescent="0.3">
      <c r="DB4" s="569" t="e">
        <f>#REF!</f>
        <v>#REF!</v>
      </c>
      <c r="DC4" s="570" t="s">
        <v>868</v>
      </c>
      <c r="DD4" s="571">
        <v>0.5</v>
      </c>
    </row>
    <row r="5" spans="1:112" ht="20.100000000000001" hidden="1" customHeight="1" x14ac:dyDescent="0.3">
      <c r="CW5" s="572"/>
      <c r="CX5" s="572"/>
      <c r="CY5" s="546"/>
    </row>
    <row r="6" spans="1:112" ht="20.100000000000001" hidden="1" customHeight="1" x14ac:dyDescent="0.3">
      <c r="CW6" s="572"/>
      <c r="CX6" s="572"/>
      <c r="CY6" s="546"/>
    </row>
    <row r="7" spans="1:112" ht="40.5" hidden="1" customHeight="1" x14ac:dyDescent="0.3"/>
    <row r="8" spans="1:112" ht="45" customHeight="1" x14ac:dyDescent="0.3">
      <c r="D8" s="573"/>
      <c r="E8" s="573"/>
      <c r="F8" s="573"/>
      <c r="G8" s="573"/>
      <c r="H8" s="573"/>
      <c r="I8" s="573"/>
      <c r="J8" s="573"/>
      <c r="K8" s="573"/>
      <c r="L8" s="573"/>
      <c r="M8" s="573"/>
      <c r="N8" s="573"/>
      <c r="O8" s="573"/>
      <c r="P8" s="573"/>
      <c r="CS8" s="1025" t="s">
        <v>869</v>
      </c>
      <c r="CT8" s="1026"/>
      <c r="CU8" s="1026"/>
      <c r="CV8" s="1026"/>
      <c r="CW8" s="1026"/>
      <c r="CX8" s="1026"/>
      <c r="CY8" s="1026"/>
      <c r="CZ8" s="1026"/>
      <c r="DA8" s="1026"/>
      <c r="DB8" s="1026"/>
      <c r="DC8" s="1026"/>
      <c r="DD8" s="1027"/>
      <c r="DG8" s="574">
        <v>0.7</v>
      </c>
      <c r="DH8" s="574">
        <v>0.3</v>
      </c>
    </row>
    <row r="9" spans="1:112" ht="32.25" customHeight="1" x14ac:dyDescent="0.3">
      <c r="D9" s="573"/>
      <c r="E9" s="254">
        <f t="shared" ref="E9:CP9" si="0">E10</f>
        <v>45670</v>
      </c>
      <c r="F9" s="254">
        <f t="shared" si="0"/>
        <v>45671</v>
      </c>
      <c r="G9" s="254">
        <f t="shared" si="0"/>
        <v>45672</v>
      </c>
      <c r="H9" s="254">
        <f t="shared" si="0"/>
        <v>45673</v>
      </c>
      <c r="I9" s="254">
        <f t="shared" si="0"/>
        <v>45674</v>
      </c>
      <c r="J9" s="254">
        <f t="shared" si="0"/>
        <v>45675</v>
      </c>
      <c r="K9" s="254">
        <f t="shared" si="0"/>
        <v>45676</v>
      </c>
      <c r="L9" s="254">
        <f t="shared" si="0"/>
        <v>45677</v>
      </c>
      <c r="M9" s="254">
        <f t="shared" si="0"/>
        <v>45678</v>
      </c>
      <c r="N9" s="254">
        <f t="shared" si="0"/>
        <v>45679</v>
      </c>
      <c r="O9" s="254">
        <f t="shared" si="0"/>
        <v>45680</v>
      </c>
      <c r="P9" s="254">
        <f t="shared" si="0"/>
        <v>45681</v>
      </c>
      <c r="Q9" s="254">
        <f t="shared" si="0"/>
        <v>45682</v>
      </c>
      <c r="R9" s="254">
        <f t="shared" si="0"/>
        <v>45683</v>
      </c>
      <c r="S9" s="254">
        <f t="shared" si="0"/>
        <v>45684</v>
      </c>
      <c r="T9" s="254">
        <f t="shared" si="0"/>
        <v>45685</v>
      </c>
      <c r="U9" s="254">
        <f t="shared" si="0"/>
        <v>45686</v>
      </c>
      <c r="V9" s="254">
        <f t="shared" si="0"/>
        <v>45687</v>
      </c>
      <c r="W9" s="254">
        <f t="shared" si="0"/>
        <v>45688</v>
      </c>
      <c r="X9" s="254">
        <f t="shared" si="0"/>
        <v>45689</v>
      </c>
      <c r="Y9" s="254">
        <f t="shared" si="0"/>
        <v>45690</v>
      </c>
      <c r="Z9" s="254">
        <f t="shared" si="0"/>
        <v>45691</v>
      </c>
      <c r="AA9" s="254">
        <f t="shared" si="0"/>
        <v>45692</v>
      </c>
      <c r="AB9" s="254">
        <f t="shared" si="0"/>
        <v>45693</v>
      </c>
      <c r="AC9" s="254">
        <f t="shared" si="0"/>
        <v>45694</v>
      </c>
      <c r="AD9" s="254">
        <f t="shared" si="0"/>
        <v>45695</v>
      </c>
      <c r="AE9" s="254">
        <f t="shared" si="0"/>
        <v>45696</v>
      </c>
      <c r="AF9" s="254">
        <f t="shared" si="0"/>
        <v>45697</v>
      </c>
      <c r="AG9" s="254">
        <f t="shared" si="0"/>
        <v>45698</v>
      </c>
      <c r="AH9" s="254">
        <f t="shared" si="0"/>
        <v>45699</v>
      </c>
      <c r="AI9" s="254">
        <f t="shared" si="0"/>
        <v>45700</v>
      </c>
      <c r="AJ9" s="254">
        <f t="shared" si="0"/>
        <v>45701</v>
      </c>
      <c r="AK9" s="254">
        <f t="shared" si="0"/>
        <v>45702</v>
      </c>
      <c r="AL9" s="254">
        <f t="shared" si="0"/>
        <v>45703</v>
      </c>
      <c r="AM9" s="254">
        <f t="shared" si="0"/>
        <v>45704</v>
      </c>
      <c r="AN9" s="254">
        <f t="shared" si="0"/>
        <v>45705</v>
      </c>
      <c r="AO9" s="254">
        <f t="shared" si="0"/>
        <v>45706</v>
      </c>
      <c r="AP9" s="254">
        <f t="shared" si="0"/>
        <v>45707</v>
      </c>
      <c r="AQ9" s="254">
        <f t="shared" si="0"/>
        <v>45708</v>
      </c>
      <c r="AR9" s="254">
        <f t="shared" si="0"/>
        <v>45709</v>
      </c>
      <c r="AS9" s="254">
        <f t="shared" si="0"/>
        <v>45710</v>
      </c>
      <c r="AT9" s="254">
        <f t="shared" si="0"/>
        <v>45711</v>
      </c>
      <c r="AU9" s="254">
        <f t="shared" si="0"/>
        <v>45712</v>
      </c>
      <c r="AV9" s="254">
        <f t="shared" si="0"/>
        <v>45713</v>
      </c>
      <c r="AW9" s="254">
        <f t="shared" si="0"/>
        <v>45714</v>
      </c>
      <c r="AX9" s="254">
        <f t="shared" si="0"/>
        <v>45715</v>
      </c>
      <c r="AY9" s="254">
        <f t="shared" si="0"/>
        <v>45716</v>
      </c>
      <c r="AZ9" s="254">
        <f t="shared" si="0"/>
        <v>45717</v>
      </c>
      <c r="BA9" s="254">
        <f t="shared" si="0"/>
        <v>45718</v>
      </c>
      <c r="BB9" s="254">
        <f t="shared" si="0"/>
        <v>45719</v>
      </c>
      <c r="BC9" s="254">
        <f t="shared" si="0"/>
        <v>45720</v>
      </c>
      <c r="BD9" s="254">
        <f t="shared" si="0"/>
        <v>45721</v>
      </c>
      <c r="BE9" s="254">
        <f t="shared" si="0"/>
        <v>45722</v>
      </c>
      <c r="BF9" s="254">
        <f t="shared" si="0"/>
        <v>45723</v>
      </c>
      <c r="BG9" s="254">
        <f t="shared" si="0"/>
        <v>45724</v>
      </c>
      <c r="BH9" s="254">
        <f t="shared" si="0"/>
        <v>45725</v>
      </c>
      <c r="BI9" s="254">
        <f t="shared" si="0"/>
        <v>45726</v>
      </c>
      <c r="BJ9" s="254">
        <f t="shared" si="0"/>
        <v>45727</v>
      </c>
      <c r="BK9" s="254">
        <f t="shared" si="0"/>
        <v>45728</v>
      </c>
      <c r="BL9" s="254">
        <f t="shared" si="0"/>
        <v>45729</v>
      </c>
      <c r="BM9" s="254">
        <f t="shared" si="0"/>
        <v>45730</v>
      </c>
      <c r="BN9" s="254">
        <f t="shared" si="0"/>
        <v>45731</v>
      </c>
      <c r="BO9" s="254">
        <f t="shared" si="0"/>
        <v>45732</v>
      </c>
      <c r="BP9" s="254">
        <f t="shared" si="0"/>
        <v>45733</v>
      </c>
      <c r="BQ9" s="254">
        <f t="shared" si="0"/>
        <v>45734</v>
      </c>
      <c r="BR9" s="254">
        <f t="shared" si="0"/>
        <v>45735</v>
      </c>
      <c r="BS9" s="254">
        <f t="shared" si="0"/>
        <v>45736</v>
      </c>
      <c r="BT9" s="254">
        <f t="shared" si="0"/>
        <v>45737</v>
      </c>
      <c r="BU9" s="254">
        <f t="shared" si="0"/>
        <v>45738</v>
      </c>
      <c r="BV9" s="254">
        <f t="shared" si="0"/>
        <v>45739</v>
      </c>
      <c r="BW9" s="254">
        <f t="shared" si="0"/>
        <v>45740</v>
      </c>
      <c r="BX9" s="254">
        <f t="shared" si="0"/>
        <v>45741</v>
      </c>
      <c r="BY9" s="254">
        <f t="shared" si="0"/>
        <v>45742</v>
      </c>
      <c r="BZ9" s="254">
        <f t="shared" si="0"/>
        <v>45743</v>
      </c>
      <c r="CA9" s="254">
        <f t="shared" si="0"/>
        <v>45744</v>
      </c>
      <c r="CB9" s="254">
        <f t="shared" si="0"/>
        <v>45745</v>
      </c>
      <c r="CC9" s="254">
        <f t="shared" si="0"/>
        <v>45746</v>
      </c>
      <c r="CD9" s="254">
        <f t="shared" si="0"/>
        <v>45747</v>
      </c>
      <c r="CE9" s="254">
        <f t="shared" si="0"/>
        <v>45748</v>
      </c>
      <c r="CF9" s="254">
        <f t="shared" si="0"/>
        <v>45749</v>
      </c>
      <c r="CG9" s="254">
        <f t="shared" si="0"/>
        <v>45750</v>
      </c>
      <c r="CH9" s="254">
        <f t="shared" si="0"/>
        <v>45751</v>
      </c>
      <c r="CI9" s="254">
        <f t="shared" si="0"/>
        <v>45752</v>
      </c>
      <c r="CJ9" s="254">
        <f t="shared" si="0"/>
        <v>45753</v>
      </c>
      <c r="CK9" s="254">
        <f t="shared" si="0"/>
        <v>45754</v>
      </c>
      <c r="CL9" s="254">
        <f t="shared" si="0"/>
        <v>45755</v>
      </c>
      <c r="CM9" s="254">
        <f t="shared" si="0"/>
        <v>45756</v>
      </c>
      <c r="CN9" s="254">
        <f t="shared" si="0"/>
        <v>45757</v>
      </c>
      <c r="CO9" s="254">
        <f t="shared" si="0"/>
        <v>45758</v>
      </c>
      <c r="CP9" s="254">
        <f t="shared" si="0"/>
        <v>45759</v>
      </c>
      <c r="CS9" s="1028"/>
      <c r="CT9" s="1029"/>
      <c r="CU9" s="1029"/>
      <c r="CV9" s="1029"/>
      <c r="CW9" s="1029"/>
      <c r="CX9" s="1029"/>
      <c r="CY9" s="1029"/>
      <c r="CZ9" s="1029"/>
      <c r="DA9" s="1029"/>
      <c r="DB9" s="1029"/>
      <c r="DC9" s="1029"/>
      <c r="DD9" s="1030"/>
      <c r="DF9" s="575" t="s">
        <v>870</v>
      </c>
      <c r="DH9" s="575" t="s">
        <v>870</v>
      </c>
    </row>
    <row r="10" spans="1:112" s="582" customFormat="1" ht="45" customHeight="1" x14ac:dyDescent="0.25">
      <c r="A10" s="576" t="s">
        <v>601</v>
      </c>
      <c r="B10" s="576" t="s">
        <v>49</v>
      </c>
      <c r="C10" s="576" t="s">
        <v>871</v>
      </c>
      <c r="D10" s="577" t="s">
        <v>613</v>
      </c>
      <c r="E10" s="578">
        <v>45670</v>
      </c>
      <c r="F10" s="578">
        <f>E10+1</f>
        <v>45671</v>
      </c>
      <c r="G10" s="578">
        <f t="shared" ref="G10:BR10" si="1">F10+1</f>
        <v>45672</v>
      </c>
      <c r="H10" s="578">
        <f t="shared" si="1"/>
        <v>45673</v>
      </c>
      <c r="I10" s="578">
        <f t="shared" si="1"/>
        <v>45674</v>
      </c>
      <c r="J10" s="578">
        <f t="shared" si="1"/>
        <v>45675</v>
      </c>
      <c r="K10" s="578">
        <f t="shared" si="1"/>
        <v>45676</v>
      </c>
      <c r="L10" s="578">
        <f t="shared" si="1"/>
        <v>45677</v>
      </c>
      <c r="M10" s="578">
        <f t="shared" si="1"/>
        <v>45678</v>
      </c>
      <c r="N10" s="578">
        <f t="shared" si="1"/>
        <v>45679</v>
      </c>
      <c r="O10" s="578">
        <f t="shared" si="1"/>
        <v>45680</v>
      </c>
      <c r="P10" s="578">
        <f t="shared" si="1"/>
        <v>45681</v>
      </c>
      <c r="Q10" s="578">
        <f t="shared" si="1"/>
        <v>45682</v>
      </c>
      <c r="R10" s="578">
        <f t="shared" si="1"/>
        <v>45683</v>
      </c>
      <c r="S10" s="578">
        <f t="shared" si="1"/>
        <v>45684</v>
      </c>
      <c r="T10" s="578">
        <f t="shared" si="1"/>
        <v>45685</v>
      </c>
      <c r="U10" s="578">
        <f t="shared" si="1"/>
        <v>45686</v>
      </c>
      <c r="V10" s="578">
        <f t="shared" si="1"/>
        <v>45687</v>
      </c>
      <c r="W10" s="578">
        <f t="shared" si="1"/>
        <v>45688</v>
      </c>
      <c r="X10" s="578">
        <f t="shared" si="1"/>
        <v>45689</v>
      </c>
      <c r="Y10" s="578">
        <f t="shared" si="1"/>
        <v>45690</v>
      </c>
      <c r="Z10" s="578">
        <f t="shared" si="1"/>
        <v>45691</v>
      </c>
      <c r="AA10" s="578">
        <f t="shared" si="1"/>
        <v>45692</v>
      </c>
      <c r="AB10" s="578">
        <f t="shared" si="1"/>
        <v>45693</v>
      </c>
      <c r="AC10" s="578">
        <f t="shared" si="1"/>
        <v>45694</v>
      </c>
      <c r="AD10" s="578">
        <f t="shared" si="1"/>
        <v>45695</v>
      </c>
      <c r="AE10" s="578">
        <f t="shared" si="1"/>
        <v>45696</v>
      </c>
      <c r="AF10" s="578">
        <f t="shared" si="1"/>
        <v>45697</v>
      </c>
      <c r="AG10" s="578">
        <f t="shared" si="1"/>
        <v>45698</v>
      </c>
      <c r="AH10" s="578">
        <f t="shared" si="1"/>
        <v>45699</v>
      </c>
      <c r="AI10" s="578">
        <f t="shared" si="1"/>
        <v>45700</v>
      </c>
      <c r="AJ10" s="578">
        <f t="shared" si="1"/>
        <v>45701</v>
      </c>
      <c r="AK10" s="578">
        <f t="shared" si="1"/>
        <v>45702</v>
      </c>
      <c r="AL10" s="578">
        <f t="shared" si="1"/>
        <v>45703</v>
      </c>
      <c r="AM10" s="578">
        <f t="shared" si="1"/>
        <v>45704</v>
      </c>
      <c r="AN10" s="578">
        <f t="shared" si="1"/>
        <v>45705</v>
      </c>
      <c r="AO10" s="578">
        <f t="shared" si="1"/>
        <v>45706</v>
      </c>
      <c r="AP10" s="578">
        <f t="shared" si="1"/>
        <v>45707</v>
      </c>
      <c r="AQ10" s="578">
        <f t="shared" si="1"/>
        <v>45708</v>
      </c>
      <c r="AR10" s="578">
        <f t="shared" si="1"/>
        <v>45709</v>
      </c>
      <c r="AS10" s="578">
        <f t="shared" si="1"/>
        <v>45710</v>
      </c>
      <c r="AT10" s="578">
        <f t="shared" si="1"/>
        <v>45711</v>
      </c>
      <c r="AU10" s="578">
        <f t="shared" si="1"/>
        <v>45712</v>
      </c>
      <c r="AV10" s="578">
        <f t="shared" si="1"/>
        <v>45713</v>
      </c>
      <c r="AW10" s="578">
        <f t="shared" si="1"/>
        <v>45714</v>
      </c>
      <c r="AX10" s="578">
        <f t="shared" si="1"/>
        <v>45715</v>
      </c>
      <c r="AY10" s="578">
        <f t="shared" si="1"/>
        <v>45716</v>
      </c>
      <c r="AZ10" s="578">
        <f t="shared" si="1"/>
        <v>45717</v>
      </c>
      <c r="BA10" s="578">
        <f t="shared" si="1"/>
        <v>45718</v>
      </c>
      <c r="BB10" s="578">
        <f t="shared" si="1"/>
        <v>45719</v>
      </c>
      <c r="BC10" s="578">
        <f t="shared" si="1"/>
        <v>45720</v>
      </c>
      <c r="BD10" s="578">
        <f t="shared" si="1"/>
        <v>45721</v>
      </c>
      <c r="BE10" s="578">
        <f t="shared" si="1"/>
        <v>45722</v>
      </c>
      <c r="BF10" s="578">
        <f t="shared" si="1"/>
        <v>45723</v>
      </c>
      <c r="BG10" s="578">
        <f t="shared" si="1"/>
        <v>45724</v>
      </c>
      <c r="BH10" s="578">
        <f t="shared" si="1"/>
        <v>45725</v>
      </c>
      <c r="BI10" s="578">
        <f t="shared" si="1"/>
        <v>45726</v>
      </c>
      <c r="BJ10" s="578">
        <f t="shared" si="1"/>
        <v>45727</v>
      </c>
      <c r="BK10" s="578">
        <f t="shared" si="1"/>
        <v>45728</v>
      </c>
      <c r="BL10" s="578">
        <f t="shared" si="1"/>
        <v>45729</v>
      </c>
      <c r="BM10" s="578">
        <f t="shared" si="1"/>
        <v>45730</v>
      </c>
      <c r="BN10" s="578">
        <f t="shared" si="1"/>
        <v>45731</v>
      </c>
      <c r="BO10" s="578">
        <f t="shared" si="1"/>
        <v>45732</v>
      </c>
      <c r="BP10" s="578">
        <f t="shared" si="1"/>
        <v>45733</v>
      </c>
      <c r="BQ10" s="578">
        <f t="shared" si="1"/>
        <v>45734</v>
      </c>
      <c r="BR10" s="578">
        <f t="shared" si="1"/>
        <v>45735</v>
      </c>
      <c r="BS10" s="578">
        <f t="shared" ref="BS10:CP10" si="2">BR10+1</f>
        <v>45736</v>
      </c>
      <c r="BT10" s="578">
        <f t="shared" si="2"/>
        <v>45737</v>
      </c>
      <c r="BU10" s="578">
        <f t="shared" si="2"/>
        <v>45738</v>
      </c>
      <c r="BV10" s="578">
        <f t="shared" si="2"/>
        <v>45739</v>
      </c>
      <c r="BW10" s="578">
        <f t="shared" si="2"/>
        <v>45740</v>
      </c>
      <c r="BX10" s="578">
        <f t="shared" si="2"/>
        <v>45741</v>
      </c>
      <c r="BY10" s="578">
        <f t="shared" si="2"/>
        <v>45742</v>
      </c>
      <c r="BZ10" s="578">
        <f t="shared" si="2"/>
        <v>45743</v>
      </c>
      <c r="CA10" s="578">
        <f t="shared" si="2"/>
        <v>45744</v>
      </c>
      <c r="CB10" s="578">
        <f t="shared" si="2"/>
        <v>45745</v>
      </c>
      <c r="CC10" s="578">
        <f t="shared" si="2"/>
        <v>45746</v>
      </c>
      <c r="CD10" s="578">
        <f t="shared" si="2"/>
        <v>45747</v>
      </c>
      <c r="CE10" s="578">
        <f t="shared" si="2"/>
        <v>45748</v>
      </c>
      <c r="CF10" s="578">
        <f t="shared" si="2"/>
        <v>45749</v>
      </c>
      <c r="CG10" s="578">
        <f t="shared" si="2"/>
        <v>45750</v>
      </c>
      <c r="CH10" s="578">
        <f t="shared" si="2"/>
        <v>45751</v>
      </c>
      <c r="CI10" s="578">
        <f t="shared" si="2"/>
        <v>45752</v>
      </c>
      <c r="CJ10" s="578">
        <f t="shared" si="2"/>
        <v>45753</v>
      </c>
      <c r="CK10" s="578">
        <f t="shared" si="2"/>
        <v>45754</v>
      </c>
      <c r="CL10" s="578">
        <f t="shared" si="2"/>
        <v>45755</v>
      </c>
      <c r="CM10" s="578">
        <f t="shared" si="2"/>
        <v>45756</v>
      </c>
      <c r="CN10" s="578">
        <f t="shared" si="2"/>
        <v>45757</v>
      </c>
      <c r="CO10" s="578">
        <f t="shared" si="2"/>
        <v>45758</v>
      </c>
      <c r="CP10" s="578">
        <f t="shared" si="2"/>
        <v>45759</v>
      </c>
      <c r="CQ10" s="579"/>
      <c r="CR10" s="579"/>
      <c r="CS10" s="580" t="s">
        <v>0</v>
      </c>
      <c r="CT10" s="580" t="s">
        <v>49</v>
      </c>
      <c r="CU10" s="580" t="s">
        <v>613</v>
      </c>
      <c r="CV10" s="580" t="s">
        <v>47</v>
      </c>
      <c r="CW10" s="580" t="s">
        <v>613</v>
      </c>
      <c r="CX10" s="580" t="s">
        <v>614</v>
      </c>
      <c r="CY10" s="580" t="s">
        <v>562</v>
      </c>
      <c r="CZ10" s="580" t="s">
        <v>615</v>
      </c>
      <c r="DA10" s="580" t="s">
        <v>616</v>
      </c>
      <c r="DB10" s="580" t="s">
        <v>626</v>
      </c>
      <c r="DC10" s="581" t="s">
        <v>618</v>
      </c>
      <c r="DD10" s="580" t="s">
        <v>7</v>
      </c>
      <c r="DF10" s="583">
        <v>8.8000000000000007</v>
      </c>
      <c r="DH10" s="583">
        <v>1</v>
      </c>
    </row>
    <row r="11" spans="1:112" s="582" customFormat="1" ht="9.75" customHeight="1" x14ac:dyDescent="0.25">
      <c r="A11" s="584" t="str">
        <f>A10</f>
        <v>SQ</v>
      </c>
      <c r="B11" s="584" t="str">
        <f>B10</f>
        <v>DESCRIÇÃO</v>
      </c>
      <c r="C11" s="584"/>
      <c r="D11" s="584"/>
      <c r="E11" s="585"/>
      <c r="F11" s="585"/>
      <c r="G11" s="585"/>
      <c r="H11" s="585"/>
      <c r="I11" s="585"/>
      <c r="J11" s="585"/>
      <c r="K11" s="585"/>
      <c r="L11" s="585"/>
      <c r="M11" s="585"/>
      <c r="N11" s="585"/>
      <c r="O11" s="585"/>
      <c r="P11" s="585"/>
      <c r="Q11" s="585"/>
      <c r="R11" s="585"/>
      <c r="S11" s="585"/>
      <c r="T11" s="585"/>
      <c r="U11" s="585"/>
      <c r="V11" s="585"/>
      <c r="W11" s="585"/>
      <c r="X11" s="585"/>
      <c r="Y11" s="585"/>
      <c r="Z11" s="585"/>
      <c r="AA11" s="585"/>
      <c r="AB11" s="585"/>
      <c r="AC11" s="585"/>
      <c r="AD11" s="585"/>
      <c r="AE11" s="585"/>
      <c r="AF11" s="585"/>
      <c r="AG11" s="586"/>
      <c r="AH11" s="586"/>
      <c r="AI11" s="586"/>
      <c r="AJ11" s="586"/>
      <c r="AK11" s="586"/>
      <c r="AL11" s="586"/>
      <c r="AM11" s="586"/>
      <c r="AN11" s="586"/>
      <c r="AO11" s="586"/>
      <c r="AP11" s="586"/>
      <c r="AQ11" s="586"/>
      <c r="AR11" s="586"/>
      <c r="AS11" s="586"/>
      <c r="AT11" s="586"/>
      <c r="AU11" s="586"/>
      <c r="AV11" s="586"/>
      <c r="AW11" s="586"/>
      <c r="AX11" s="586"/>
      <c r="AY11" s="586"/>
      <c r="AZ11" s="586"/>
      <c r="BA11" s="586"/>
      <c r="BB11" s="586"/>
      <c r="BC11" s="586"/>
      <c r="BD11" s="586"/>
      <c r="BE11" s="586"/>
      <c r="BF11" s="586"/>
      <c r="BG11" s="586"/>
      <c r="BH11" s="586"/>
      <c r="BI11" s="586"/>
      <c r="BJ11" s="586"/>
      <c r="BK11" s="586"/>
      <c r="BL11" s="586"/>
      <c r="BM11" s="586"/>
      <c r="BN11" s="586"/>
      <c r="BO11" s="586"/>
      <c r="BP11" s="586"/>
      <c r="BQ11" s="586"/>
      <c r="BR11" s="586"/>
      <c r="BS11" s="586"/>
      <c r="BT11" s="586"/>
      <c r="BU11" s="586"/>
      <c r="BV11" s="586"/>
      <c r="BW11" s="586"/>
      <c r="BX11" s="586"/>
      <c r="BY11" s="586"/>
      <c r="BZ11" s="586"/>
      <c r="CA11" s="586"/>
      <c r="CB11" s="586"/>
      <c r="CC11" s="586"/>
      <c r="CD11" s="586"/>
      <c r="CE11" s="586"/>
      <c r="CF11" s="586"/>
      <c r="CG11" s="586"/>
      <c r="CH11" s="586"/>
      <c r="CI11" s="586"/>
      <c r="CJ11" s="586"/>
      <c r="CK11" s="586"/>
      <c r="CL11" s="586"/>
      <c r="CM11" s="586"/>
      <c r="CN11" s="586"/>
      <c r="CO11" s="586"/>
      <c r="CP11" s="586"/>
      <c r="CQ11" s="579"/>
      <c r="CR11" s="579"/>
      <c r="DC11" s="587"/>
    </row>
    <row r="12" spans="1:112" ht="39.9" customHeight="1" x14ac:dyDescent="0.3">
      <c r="A12" s="588">
        <f>ROW(A1)</f>
        <v>1</v>
      </c>
      <c r="B12" s="605"/>
      <c r="C12" s="589"/>
      <c r="D12" s="590"/>
      <c r="E12" s="591"/>
      <c r="F12" s="591"/>
      <c r="G12" s="591"/>
      <c r="H12" s="591"/>
      <c r="I12" s="591"/>
      <c r="J12" s="591"/>
      <c r="K12" s="591"/>
      <c r="L12" s="591"/>
      <c r="M12" s="591"/>
      <c r="N12" s="591"/>
      <c r="O12" s="591"/>
      <c r="P12" s="591"/>
      <c r="Q12" s="591"/>
      <c r="R12" s="591"/>
      <c r="S12" s="591"/>
      <c r="T12" s="591"/>
      <c r="U12" s="591"/>
      <c r="V12" s="591"/>
      <c r="W12" s="591"/>
      <c r="X12" s="591"/>
      <c r="Y12" s="591"/>
      <c r="Z12" s="591"/>
      <c r="AA12" s="591"/>
      <c r="AB12" s="591"/>
      <c r="AC12" s="591"/>
      <c r="AD12" s="591"/>
      <c r="AE12" s="591"/>
      <c r="AF12" s="591"/>
      <c r="AG12" s="591"/>
      <c r="AH12" s="592"/>
      <c r="AI12" s="592"/>
      <c r="AJ12" s="592"/>
      <c r="AK12" s="592"/>
      <c r="AL12" s="592"/>
      <c r="AM12" s="592"/>
      <c r="AN12" s="592"/>
      <c r="AO12" s="592"/>
      <c r="AP12" s="592"/>
      <c r="AQ12" s="592"/>
      <c r="AR12" s="592"/>
      <c r="AS12" s="592"/>
      <c r="AT12" s="592"/>
      <c r="AU12" s="592"/>
      <c r="AV12" s="592"/>
      <c r="AW12" s="592"/>
      <c r="AX12" s="592"/>
      <c r="AY12" s="592"/>
      <c r="AZ12" s="592"/>
      <c r="BA12" s="592"/>
      <c r="BB12" s="592"/>
      <c r="BC12" s="592"/>
      <c r="BD12" s="592"/>
      <c r="BE12" s="592"/>
      <c r="BF12" s="592"/>
      <c r="BG12" s="592"/>
      <c r="BH12" s="592"/>
      <c r="BI12" s="592"/>
      <c r="BJ12" s="592"/>
      <c r="BK12" s="592"/>
      <c r="BL12" s="592"/>
      <c r="BM12" s="592"/>
      <c r="BN12" s="592"/>
      <c r="BO12" s="592"/>
      <c r="BP12" s="592"/>
      <c r="BQ12" s="592"/>
      <c r="BR12" s="592"/>
      <c r="BS12" s="592"/>
      <c r="BT12" s="592"/>
      <c r="BU12" s="592"/>
      <c r="BV12" s="592"/>
      <c r="BW12" s="592"/>
      <c r="BX12" s="592"/>
      <c r="BY12" s="592"/>
      <c r="BZ12" s="592"/>
      <c r="CA12" s="592"/>
      <c r="CB12" s="592"/>
      <c r="CC12" s="592"/>
      <c r="CD12" s="592"/>
      <c r="CE12" s="592"/>
      <c r="CF12" s="592"/>
      <c r="CG12" s="592"/>
      <c r="CH12" s="592"/>
      <c r="CI12" s="592"/>
      <c r="CJ12" s="592"/>
      <c r="CK12" s="592"/>
      <c r="CL12" s="592"/>
      <c r="CM12" s="592"/>
      <c r="CN12" s="592"/>
      <c r="CO12" s="592"/>
      <c r="CP12" s="592"/>
      <c r="CQ12" s="593">
        <f>C12-SUM(E12:CP12)*3.5</f>
        <v>0</v>
      </c>
      <c r="CS12" s="594">
        <f t="shared" ref="CS12:CT31" si="3">A12</f>
        <v>1</v>
      </c>
      <c r="CT12" s="595">
        <f t="shared" si="3"/>
        <v>0</v>
      </c>
      <c r="CU12" s="596">
        <f t="shared" ref="CU12:CU31" si="4">D12</f>
        <v>0</v>
      </c>
      <c r="CV12" s="597"/>
      <c r="CW12" s="594" t="s">
        <v>850</v>
      </c>
      <c r="CX12" s="594" t="s">
        <v>626</v>
      </c>
      <c r="CY12" s="598" t="str">
        <f>IFERROR(AVERAGE(E12:CP12),"0")</f>
        <v>0</v>
      </c>
      <c r="CZ12" s="599" t="str">
        <f>IFERROR(SUM(E12:CP12)/CY12,"0")</f>
        <v>0</v>
      </c>
      <c r="DA12" s="598">
        <f t="shared" ref="DA12:DA17" si="5">CY12*CZ12*$DF$10</f>
        <v>0</v>
      </c>
      <c r="DB12" s="600">
        <f>(DH12*$DH$8)+(DG12*$DG$8)</f>
        <v>61.88</v>
      </c>
      <c r="DC12" s="601">
        <v>1</v>
      </c>
      <c r="DD12" s="602">
        <f t="shared" ref="DD12:DD31" si="6">DA12*DB12*DC12</f>
        <v>0</v>
      </c>
      <c r="DG12" s="546">
        <v>61.88</v>
      </c>
      <c r="DH12" s="600">
        <v>61.88</v>
      </c>
    </row>
    <row r="13" spans="1:112" ht="39.6" customHeight="1" x14ac:dyDescent="0.3">
      <c r="A13" s="588">
        <f t="shared" ref="A13:A31" si="7">ROW(A2)</f>
        <v>2</v>
      </c>
      <c r="B13" s="605"/>
      <c r="C13" s="589"/>
      <c r="D13" s="590"/>
      <c r="E13" s="591"/>
      <c r="F13" s="591"/>
      <c r="G13" s="591"/>
      <c r="H13" s="591"/>
      <c r="I13" s="591"/>
      <c r="J13" s="591"/>
      <c r="K13" s="591"/>
      <c r="L13" s="591"/>
      <c r="M13" s="591"/>
      <c r="N13" s="591"/>
      <c r="O13" s="591"/>
      <c r="P13" s="591"/>
      <c r="Q13" s="591"/>
      <c r="R13" s="591"/>
      <c r="S13" s="591"/>
      <c r="T13" s="591"/>
      <c r="U13" s="591"/>
      <c r="V13" s="591"/>
      <c r="W13" s="591"/>
      <c r="X13" s="591"/>
      <c r="Y13" s="591"/>
      <c r="Z13" s="591"/>
      <c r="AA13" s="591"/>
      <c r="AB13" s="591"/>
      <c r="AC13" s="591"/>
      <c r="AD13" s="591"/>
      <c r="AE13" s="591"/>
      <c r="AF13" s="591"/>
      <c r="AG13" s="591"/>
      <c r="AH13" s="592"/>
      <c r="AI13" s="592"/>
      <c r="AJ13" s="592"/>
      <c r="AK13" s="592"/>
      <c r="AL13" s="592"/>
      <c r="AM13" s="592"/>
      <c r="AN13" s="592"/>
      <c r="AO13" s="592"/>
      <c r="AP13" s="592"/>
      <c r="AQ13" s="592"/>
      <c r="AR13" s="592"/>
      <c r="AS13" s="592"/>
      <c r="AT13" s="592"/>
      <c r="AU13" s="592"/>
      <c r="AV13" s="592"/>
      <c r="AW13" s="592"/>
      <c r="AX13" s="592"/>
      <c r="AY13" s="592"/>
      <c r="AZ13" s="592"/>
      <c r="BA13" s="592"/>
      <c r="BB13" s="592"/>
      <c r="BC13" s="592"/>
      <c r="BD13" s="592"/>
      <c r="BE13" s="592"/>
      <c r="BF13" s="592"/>
      <c r="BG13" s="592"/>
      <c r="BH13" s="592"/>
      <c r="BI13" s="592"/>
      <c r="BJ13" s="592"/>
      <c r="BK13" s="592"/>
      <c r="BL13" s="592"/>
      <c r="BM13" s="592"/>
      <c r="BN13" s="592"/>
      <c r="BO13" s="592"/>
      <c r="BP13" s="592"/>
      <c r="BQ13" s="592"/>
      <c r="BR13" s="592"/>
      <c r="BS13" s="592"/>
      <c r="BT13" s="592"/>
      <c r="BU13" s="592"/>
      <c r="BV13" s="592"/>
      <c r="BW13" s="592"/>
      <c r="BX13" s="592"/>
      <c r="BY13" s="592"/>
      <c r="BZ13" s="592"/>
      <c r="CA13" s="592"/>
      <c r="CB13" s="592"/>
      <c r="CC13" s="592"/>
      <c r="CD13" s="592"/>
      <c r="CE13" s="592"/>
      <c r="CF13" s="592"/>
      <c r="CG13" s="592"/>
      <c r="CH13" s="592"/>
      <c r="CI13" s="592"/>
      <c r="CJ13" s="592"/>
      <c r="CK13" s="592"/>
      <c r="CL13" s="592"/>
      <c r="CM13" s="592"/>
      <c r="CN13" s="592"/>
      <c r="CO13" s="592"/>
      <c r="CP13" s="592"/>
      <c r="CQ13" s="593">
        <f>C13-SUM(E13:CP13)*3.5</f>
        <v>0</v>
      </c>
      <c r="CS13" s="594">
        <f t="shared" si="3"/>
        <v>2</v>
      </c>
      <c r="CT13" s="595">
        <f t="shared" si="3"/>
        <v>0</v>
      </c>
      <c r="CU13" s="596">
        <f t="shared" si="4"/>
        <v>0</v>
      </c>
      <c r="CV13" s="597"/>
      <c r="CW13" s="594" t="s">
        <v>850</v>
      </c>
      <c r="CX13" s="594" t="s">
        <v>626</v>
      </c>
      <c r="CY13" s="598" t="str">
        <f t="shared" ref="CY13:CY28" si="8">IFERROR(AVERAGE(E13:CP13),"0")</f>
        <v>0</v>
      </c>
      <c r="CZ13" s="599" t="str">
        <f t="shared" ref="CZ13:CZ28" si="9">IFERROR(SUM(E13:CP13)/CY13,"0")</f>
        <v>0</v>
      </c>
      <c r="DA13" s="598">
        <f t="shared" si="5"/>
        <v>0</v>
      </c>
      <c r="DB13" s="600">
        <f t="shared" ref="DB13:DB25" si="10">(DH13*$DH$8)+(DG13*$DG$8)</f>
        <v>61.88</v>
      </c>
      <c r="DC13" s="601">
        <v>1</v>
      </c>
      <c r="DD13" s="602">
        <f t="shared" si="6"/>
        <v>0</v>
      </c>
      <c r="DG13" s="546">
        <v>61.88</v>
      </c>
      <c r="DH13" s="600">
        <v>61.88</v>
      </c>
    </row>
    <row r="14" spans="1:112" ht="39.9" customHeight="1" x14ac:dyDescent="0.3">
      <c r="A14" s="588">
        <f t="shared" si="7"/>
        <v>3</v>
      </c>
      <c r="B14" s="605"/>
      <c r="C14" s="589"/>
      <c r="D14" s="590"/>
      <c r="E14" s="591"/>
      <c r="F14" s="591"/>
      <c r="G14" s="591"/>
      <c r="H14" s="591"/>
      <c r="I14" s="591"/>
      <c r="J14" s="591"/>
      <c r="K14" s="591"/>
      <c r="L14" s="591"/>
      <c r="M14" s="591"/>
      <c r="N14" s="591"/>
      <c r="O14" s="591"/>
      <c r="P14" s="591"/>
      <c r="Q14" s="591"/>
      <c r="R14" s="591"/>
      <c r="S14" s="591"/>
      <c r="T14" s="591"/>
      <c r="U14" s="591"/>
      <c r="V14" s="591"/>
      <c r="W14" s="591"/>
      <c r="X14" s="591"/>
      <c r="Y14" s="591"/>
      <c r="Z14" s="591"/>
      <c r="AA14" s="591"/>
      <c r="AB14" s="591"/>
      <c r="AC14" s="591"/>
      <c r="AD14" s="591"/>
      <c r="AE14" s="591"/>
      <c r="AF14" s="591"/>
      <c r="AG14" s="591"/>
      <c r="AH14" s="592"/>
      <c r="AI14" s="592"/>
      <c r="AJ14" s="592"/>
      <c r="AK14" s="592"/>
      <c r="AL14" s="592"/>
      <c r="AM14" s="592"/>
      <c r="AN14" s="592"/>
      <c r="AO14" s="592"/>
      <c r="AP14" s="592"/>
      <c r="AQ14" s="592"/>
      <c r="AR14" s="592"/>
      <c r="AS14" s="592"/>
      <c r="AT14" s="592"/>
      <c r="AU14" s="592"/>
      <c r="AV14" s="592"/>
      <c r="AW14" s="592"/>
      <c r="AX14" s="592"/>
      <c r="AY14" s="592"/>
      <c r="AZ14" s="592"/>
      <c r="BA14" s="592"/>
      <c r="BB14" s="592"/>
      <c r="BC14" s="592"/>
      <c r="BD14" s="592"/>
      <c r="BE14" s="592"/>
      <c r="BF14" s="592"/>
      <c r="BG14" s="592"/>
      <c r="BH14" s="592"/>
      <c r="BI14" s="592"/>
      <c r="BJ14" s="592"/>
      <c r="BK14" s="592"/>
      <c r="BL14" s="592"/>
      <c r="BM14" s="592"/>
      <c r="BN14" s="592"/>
      <c r="BO14" s="592"/>
      <c r="BP14" s="592"/>
      <c r="BQ14" s="592"/>
      <c r="BR14" s="592"/>
      <c r="BS14" s="592"/>
      <c r="BT14" s="592"/>
      <c r="BU14" s="592"/>
      <c r="BV14" s="592"/>
      <c r="BW14" s="592"/>
      <c r="BX14" s="592"/>
      <c r="BY14" s="592"/>
      <c r="BZ14" s="592"/>
      <c r="CA14" s="592"/>
      <c r="CB14" s="592"/>
      <c r="CC14" s="592"/>
      <c r="CD14" s="592"/>
      <c r="CE14" s="592"/>
      <c r="CF14" s="592"/>
      <c r="CG14" s="592"/>
      <c r="CH14" s="592"/>
      <c r="CI14" s="592"/>
      <c r="CJ14" s="592"/>
      <c r="CK14" s="592"/>
      <c r="CL14" s="592"/>
      <c r="CM14" s="592"/>
      <c r="CN14" s="592"/>
      <c r="CO14" s="592"/>
      <c r="CP14" s="592"/>
      <c r="CQ14" s="593">
        <f t="shared" ref="CQ14:CQ31" si="11">C14-SUM(E14:CP14)*4</f>
        <v>0</v>
      </c>
      <c r="CS14" s="594">
        <f t="shared" si="3"/>
        <v>3</v>
      </c>
      <c r="CT14" s="595">
        <f t="shared" si="3"/>
        <v>0</v>
      </c>
      <c r="CU14" s="596">
        <f t="shared" si="4"/>
        <v>0</v>
      </c>
      <c r="CV14" s="597"/>
      <c r="CW14" s="594" t="s">
        <v>850</v>
      </c>
      <c r="CX14" s="594" t="s">
        <v>626</v>
      </c>
      <c r="CY14" s="598" t="str">
        <f t="shared" si="8"/>
        <v>0</v>
      </c>
      <c r="CZ14" s="599" t="str">
        <f t="shared" si="9"/>
        <v>0</v>
      </c>
      <c r="DA14" s="598">
        <f t="shared" si="5"/>
        <v>0</v>
      </c>
      <c r="DB14" s="600">
        <f t="shared" si="10"/>
        <v>61.88</v>
      </c>
      <c r="DC14" s="601">
        <v>1</v>
      </c>
      <c r="DD14" s="602">
        <f t="shared" si="6"/>
        <v>0</v>
      </c>
      <c r="DG14" s="546">
        <v>61.88</v>
      </c>
      <c r="DH14" s="600">
        <v>61.88</v>
      </c>
    </row>
    <row r="15" spans="1:112" ht="39.9" customHeight="1" x14ac:dyDescent="0.3">
      <c r="A15" s="588">
        <f t="shared" si="7"/>
        <v>4</v>
      </c>
      <c r="B15" s="605"/>
      <c r="C15" s="589"/>
      <c r="D15" s="590"/>
      <c r="E15" s="591"/>
      <c r="F15" s="591"/>
      <c r="G15" s="591"/>
      <c r="H15" s="591"/>
      <c r="I15" s="591"/>
      <c r="J15" s="591"/>
      <c r="K15" s="591"/>
      <c r="L15" s="591"/>
      <c r="M15" s="591"/>
      <c r="N15" s="591"/>
      <c r="O15" s="591"/>
      <c r="P15" s="591"/>
      <c r="Q15" s="591"/>
      <c r="R15" s="591"/>
      <c r="S15" s="591"/>
      <c r="T15" s="591"/>
      <c r="U15" s="591"/>
      <c r="V15" s="591"/>
      <c r="W15" s="591"/>
      <c r="X15" s="591"/>
      <c r="Y15" s="591"/>
      <c r="Z15" s="591"/>
      <c r="AA15" s="591"/>
      <c r="AB15" s="591"/>
      <c r="AC15" s="591"/>
      <c r="AD15" s="591"/>
      <c r="AE15" s="591"/>
      <c r="AF15" s="591"/>
      <c r="AG15" s="591"/>
      <c r="AH15" s="592"/>
      <c r="AI15" s="592"/>
      <c r="AJ15" s="592"/>
      <c r="AK15" s="592"/>
      <c r="AL15" s="592"/>
      <c r="AM15" s="592"/>
      <c r="AN15" s="592"/>
      <c r="AO15" s="592"/>
      <c r="AP15" s="592"/>
      <c r="AQ15" s="592"/>
      <c r="AR15" s="592"/>
      <c r="AS15" s="592"/>
      <c r="AT15" s="592"/>
      <c r="AU15" s="592"/>
      <c r="AV15" s="592"/>
      <c r="AW15" s="592"/>
      <c r="AX15" s="592"/>
      <c r="AY15" s="592"/>
      <c r="AZ15" s="592"/>
      <c r="BA15" s="592"/>
      <c r="BB15" s="592"/>
      <c r="BC15" s="592"/>
      <c r="BD15" s="592"/>
      <c r="BE15" s="592"/>
      <c r="BF15" s="592"/>
      <c r="BG15" s="592"/>
      <c r="BH15" s="592"/>
      <c r="BI15" s="592"/>
      <c r="BJ15" s="592"/>
      <c r="BK15" s="592"/>
      <c r="BL15" s="592"/>
      <c r="BM15" s="592"/>
      <c r="BN15" s="592"/>
      <c r="BO15" s="592"/>
      <c r="BP15" s="592"/>
      <c r="BQ15" s="592"/>
      <c r="BR15" s="592"/>
      <c r="BS15" s="592"/>
      <c r="BT15" s="592"/>
      <c r="BU15" s="592"/>
      <c r="BV15" s="592"/>
      <c r="BW15" s="592"/>
      <c r="BX15" s="592"/>
      <c r="BY15" s="592"/>
      <c r="BZ15" s="592"/>
      <c r="CA15" s="592"/>
      <c r="CB15" s="592"/>
      <c r="CC15" s="592"/>
      <c r="CD15" s="592"/>
      <c r="CE15" s="592"/>
      <c r="CF15" s="592"/>
      <c r="CG15" s="592"/>
      <c r="CH15" s="592"/>
      <c r="CI15" s="592"/>
      <c r="CJ15" s="592"/>
      <c r="CK15" s="592"/>
      <c r="CL15" s="592"/>
      <c r="CM15" s="592"/>
      <c r="CN15" s="592"/>
      <c r="CO15" s="592"/>
      <c r="CP15" s="592"/>
      <c r="CQ15" s="593">
        <f t="shared" si="11"/>
        <v>0</v>
      </c>
      <c r="CS15" s="594">
        <f t="shared" si="3"/>
        <v>4</v>
      </c>
      <c r="CT15" s="595">
        <f t="shared" si="3"/>
        <v>0</v>
      </c>
      <c r="CU15" s="596">
        <f t="shared" si="4"/>
        <v>0</v>
      </c>
      <c r="CV15" s="597"/>
      <c r="CW15" s="594" t="s">
        <v>850</v>
      </c>
      <c r="CX15" s="594" t="s">
        <v>626</v>
      </c>
      <c r="CY15" s="598" t="str">
        <f t="shared" si="8"/>
        <v>0</v>
      </c>
      <c r="CZ15" s="599" t="str">
        <f t="shared" si="9"/>
        <v>0</v>
      </c>
      <c r="DA15" s="598">
        <f t="shared" si="5"/>
        <v>0</v>
      </c>
      <c r="DB15" s="600">
        <f t="shared" si="10"/>
        <v>61.88</v>
      </c>
      <c r="DC15" s="601">
        <v>1</v>
      </c>
      <c r="DD15" s="602">
        <f t="shared" si="6"/>
        <v>0</v>
      </c>
      <c r="DG15" s="546">
        <v>61.88</v>
      </c>
      <c r="DH15" s="600">
        <v>61.88</v>
      </c>
    </row>
    <row r="16" spans="1:112" ht="39.6" customHeight="1" x14ac:dyDescent="0.3">
      <c r="A16" s="588">
        <f t="shared" si="7"/>
        <v>5</v>
      </c>
      <c r="B16" s="605"/>
      <c r="C16" s="589"/>
      <c r="D16" s="590"/>
      <c r="E16" s="591"/>
      <c r="F16" s="591"/>
      <c r="G16" s="591"/>
      <c r="H16" s="591"/>
      <c r="I16" s="591"/>
      <c r="J16" s="591"/>
      <c r="K16" s="591"/>
      <c r="L16" s="591"/>
      <c r="M16" s="591"/>
      <c r="N16" s="591"/>
      <c r="O16" s="591"/>
      <c r="P16" s="591"/>
      <c r="Q16" s="591"/>
      <c r="R16" s="591"/>
      <c r="S16" s="591"/>
      <c r="T16" s="591"/>
      <c r="U16" s="591"/>
      <c r="V16" s="591"/>
      <c r="W16" s="591"/>
      <c r="X16" s="591"/>
      <c r="Y16" s="591"/>
      <c r="Z16" s="591"/>
      <c r="AA16" s="591"/>
      <c r="AB16" s="591"/>
      <c r="AC16" s="591"/>
      <c r="AD16" s="591"/>
      <c r="AE16" s="591"/>
      <c r="AF16" s="591"/>
      <c r="AG16" s="591"/>
      <c r="AH16" s="592"/>
      <c r="AI16" s="592"/>
      <c r="AJ16" s="592"/>
      <c r="AK16" s="592"/>
      <c r="AL16" s="592"/>
      <c r="AM16" s="592"/>
      <c r="AN16" s="592"/>
      <c r="AO16" s="592"/>
      <c r="AP16" s="592"/>
      <c r="AQ16" s="592"/>
      <c r="AR16" s="592"/>
      <c r="AS16" s="592"/>
      <c r="AT16" s="592"/>
      <c r="AU16" s="592"/>
      <c r="AV16" s="592"/>
      <c r="AW16" s="592"/>
      <c r="AX16" s="592"/>
      <c r="AY16" s="592"/>
      <c r="AZ16" s="592"/>
      <c r="BA16" s="592"/>
      <c r="BB16" s="592"/>
      <c r="BC16" s="592"/>
      <c r="BD16" s="592"/>
      <c r="BE16" s="592"/>
      <c r="BF16" s="592"/>
      <c r="BG16" s="592"/>
      <c r="BH16" s="592"/>
      <c r="BI16" s="592"/>
      <c r="BJ16" s="592"/>
      <c r="BK16" s="592"/>
      <c r="BL16" s="592"/>
      <c r="BM16" s="592"/>
      <c r="BN16" s="592"/>
      <c r="BO16" s="592"/>
      <c r="BP16" s="592"/>
      <c r="BQ16" s="592"/>
      <c r="BR16" s="592"/>
      <c r="BS16" s="592"/>
      <c r="BT16" s="592"/>
      <c r="BU16" s="592"/>
      <c r="BV16" s="592"/>
      <c r="BW16" s="592"/>
      <c r="BX16" s="592"/>
      <c r="BY16" s="592"/>
      <c r="BZ16" s="592"/>
      <c r="CA16" s="592"/>
      <c r="CB16" s="592"/>
      <c r="CC16" s="592"/>
      <c r="CD16" s="592"/>
      <c r="CE16" s="592"/>
      <c r="CF16" s="592"/>
      <c r="CG16" s="592"/>
      <c r="CH16" s="592"/>
      <c r="CI16" s="592"/>
      <c r="CJ16" s="592"/>
      <c r="CK16" s="592"/>
      <c r="CL16" s="592"/>
      <c r="CM16" s="592"/>
      <c r="CN16" s="592"/>
      <c r="CO16" s="592"/>
      <c r="CP16" s="592"/>
      <c r="CQ16" s="593">
        <f t="shared" si="11"/>
        <v>0</v>
      </c>
      <c r="CS16" s="594">
        <f t="shared" si="3"/>
        <v>5</v>
      </c>
      <c r="CT16" s="595">
        <f t="shared" si="3"/>
        <v>0</v>
      </c>
      <c r="CU16" s="596">
        <f t="shared" si="4"/>
        <v>0</v>
      </c>
      <c r="CV16" s="597"/>
      <c r="CW16" s="594" t="s">
        <v>850</v>
      </c>
      <c r="CX16" s="594" t="s">
        <v>626</v>
      </c>
      <c r="CY16" s="598" t="str">
        <f t="shared" si="8"/>
        <v>0</v>
      </c>
      <c r="CZ16" s="599" t="str">
        <f t="shared" si="9"/>
        <v>0</v>
      </c>
      <c r="DA16" s="598">
        <f t="shared" si="5"/>
        <v>0</v>
      </c>
      <c r="DB16" s="600">
        <f t="shared" si="10"/>
        <v>61.88</v>
      </c>
      <c r="DC16" s="601">
        <v>1</v>
      </c>
      <c r="DD16" s="602">
        <f t="shared" si="6"/>
        <v>0</v>
      </c>
      <c r="DG16" s="546">
        <v>61.88</v>
      </c>
      <c r="DH16" s="600">
        <v>61.88</v>
      </c>
    </row>
    <row r="17" spans="1:114" ht="39.6" customHeight="1" x14ac:dyDescent="0.3">
      <c r="A17" s="588">
        <f t="shared" si="7"/>
        <v>6</v>
      </c>
      <c r="B17" s="605"/>
      <c r="C17" s="589"/>
      <c r="D17" s="590"/>
      <c r="E17" s="591"/>
      <c r="F17" s="591"/>
      <c r="G17" s="591"/>
      <c r="H17" s="591"/>
      <c r="I17" s="591"/>
      <c r="J17" s="591"/>
      <c r="K17" s="591"/>
      <c r="L17" s="591"/>
      <c r="M17" s="591"/>
      <c r="N17" s="591"/>
      <c r="O17" s="591"/>
      <c r="P17" s="591"/>
      <c r="Q17" s="591"/>
      <c r="R17" s="591"/>
      <c r="S17" s="591"/>
      <c r="T17" s="591"/>
      <c r="U17" s="591"/>
      <c r="V17" s="591"/>
      <c r="W17" s="591"/>
      <c r="X17" s="591"/>
      <c r="Y17" s="591"/>
      <c r="Z17" s="591"/>
      <c r="AA17" s="591"/>
      <c r="AB17" s="591"/>
      <c r="AC17" s="591"/>
      <c r="AD17" s="591"/>
      <c r="AE17" s="591"/>
      <c r="AF17" s="591"/>
      <c r="AG17" s="591"/>
      <c r="AH17" s="603"/>
      <c r="AI17" s="603"/>
      <c r="AJ17" s="603"/>
      <c r="AK17" s="603"/>
      <c r="AL17" s="592"/>
      <c r="AM17" s="592"/>
      <c r="AN17" s="592"/>
      <c r="AO17" s="592"/>
      <c r="AP17" s="592"/>
      <c r="AQ17" s="592"/>
      <c r="AR17" s="592"/>
      <c r="AS17" s="592"/>
      <c r="AT17" s="592"/>
      <c r="AU17" s="592"/>
      <c r="AV17" s="592"/>
      <c r="AW17" s="592"/>
      <c r="AX17" s="592"/>
      <c r="AY17" s="592"/>
      <c r="AZ17" s="592"/>
      <c r="BA17" s="592"/>
      <c r="BB17" s="592"/>
      <c r="BC17" s="592"/>
      <c r="BD17" s="592"/>
      <c r="BE17" s="592"/>
      <c r="BF17" s="592"/>
      <c r="BG17" s="592"/>
      <c r="BH17" s="592"/>
      <c r="BI17" s="592"/>
      <c r="BJ17" s="592"/>
      <c r="BK17" s="592"/>
      <c r="BL17" s="592"/>
      <c r="BM17" s="592"/>
      <c r="BN17" s="592"/>
      <c r="BO17" s="592"/>
      <c r="BP17" s="592"/>
      <c r="BQ17" s="592"/>
      <c r="BR17" s="592"/>
      <c r="BS17" s="592"/>
      <c r="BT17" s="592"/>
      <c r="BU17" s="592"/>
      <c r="BV17" s="592"/>
      <c r="BW17" s="592"/>
      <c r="BX17" s="592"/>
      <c r="BY17" s="592"/>
      <c r="BZ17" s="592"/>
      <c r="CA17" s="592"/>
      <c r="CB17" s="592"/>
      <c r="CC17" s="592"/>
      <c r="CD17" s="592"/>
      <c r="CE17" s="592"/>
      <c r="CF17" s="592"/>
      <c r="CG17" s="592"/>
      <c r="CH17" s="592"/>
      <c r="CI17" s="592"/>
      <c r="CJ17" s="592"/>
      <c r="CK17" s="592"/>
      <c r="CL17" s="592"/>
      <c r="CM17" s="592"/>
      <c r="CN17" s="592"/>
      <c r="CO17" s="592"/>
      <c r="CP17" s="592"/>
      <c r="CQ17" s="593">
        <f t="shared" si="11"/>
        <v>0</v>
      </c>
      <c r="CS17" s="594">
        <f t="shared" si="3"/>
        <v>6</v>
      </c>
      <c r="CT17" s="595">
        <f t="shared" si="3"/>
        <v>0</v>
      </c>
      <c r="CU17" s="596">
        <f t="shared" si="4"/>
        <v>0</v>
      </c>
      <c r="CV17" s="597"/>
      <c r="CW17" s="594" t="s">
        <v>850</v>
      </c>
      <c r="CX17" s="594" t="s">
        <v>626</v>
      </c>
      <c r="CY17" s="598" t="str">
        <f t="shared" si="8"/>
        <v>0</v>
      </c>
      <c r="CZ17" s="599" t="str">
        <f t="shared" si="9"/>
        <v>0</v>
      </c>
      <c r="DA17" s="598">
        <f t="shared" si="5"/>
        <v>0</v>
      </c>
      <c r="DB17" s="600">
        <f t="shared" si="10"/>
        <v>61.88</v>
      </c>
      <c r="DC17" s="601">
        <v>1</v>
      </c>
      <c r="DD17" s="602">
        <f t="shared" si="6"/>
        <v>0</v>
      </c>
      <c r="DG17" s="546">
        <v>61.88</v>
      </c>
      <c r="DH17" s="600">
        <v>61.88</v>
      </c>
      <c r="DJ17" s="604">
        <f>DH26*CY26*$DF$10*5</f>
        <v>0</v>
      </c>
    </row>
    <row r="18" spans="1:114" ht="39.9" customHeight="1" x14ac:dyDescent="0.3">
      <c r="A18" s="588">
        <f t="shared" si="7"/>
        <v>7</v>
      </c>
      <c r="B18" s="605"/>
      <c r="C18" s="589"/>
      <c r="D18" s="590"/>
      <c r="E18" s="591"/>
      <c r="F18" s="591"/>
      <c r="G18" s="591"/>
      <c r="H18" s="591"/>
      <c r="I18" s="591"/>
      <c r="J18" s="591"/>
      <c r="K18" s="591"/>
      <c r="L18" s="591"/>
      <c r="M18" s="591"/>
      <c r="N18" s="591"/>
      <c r="O18" s="591"/>
      <c r="P18" s="591"/>
      <c r="Q18" s="591"/>
      <c r="R18" s="591"/>
      <c r="S18" s="591"/>
      <c r="T18" s="591"/>
      <c r="U18" s="591"/>
      <c r="V18" s="591"/>
      <c r="W18" s="591"/>
      <c r="X18" s="591"/>
      <c r="Y18" s="591"/>
      <c r="Z18" s="591"/>
      <c r="AA18" s="591"/>
      <c r="AB18" s="591"/>
      <c r="AC18" s="591"/>
      <c r="AD18" s="591"/>
      <c r="AE18" s="591"/>
      <c r="AF18" s="591"/>
      <c r="AG18" s="591"/>
      <c r="AH18" s="592"/>
      <c r="AI18" s="592"/>
      <c r="AJ18" s="592"/>
      <c r="AK18" s="592"/>
      <c r="AL18" s="592"/>
      <c r="AM18" s="592"/>
      <c r="AN18" s="591"/>
      <c r="AO18" s="591"/>
      <c r="AP18" s="591"/>
      <c r="AQ18" s="591"/>
      <c r="AR18" s="591"/>
      <c r="AS18" s="591"/>
      <c r="AT18" s="591"/>
      <c r="AU18" s="591"/>
      <c r="AV18" s="591"/>
      <c r="AW18" s="591"/>
      <c r="AX18" s="591"/>
      <c r="AY18" s="591"/>
      <c r="AZ18" s="591"/>
      <c r="BA18" s="591"/>
      <c r="BB18" s="592"/>
      <c r="BC18" s="592"/>
      <c r="BD18" s="592"/>
      <c r="BE18" s="592"/>
      <c r="BF18" s="592"/>
      <c r="BG18" s="592"/>
      <c r="BH18" s="592"/>
      <c r="BI18" s="592"/>
      <c r="BJ18" s="592"/>
      <c r="BK18" s="592"/>
      <c r="BL18" s="592"/>
      <c r="BM18" s="592"/>
      <c r="BN18" s="592"/>
      <c r="BO18" s="592"/>
      <c r="BP18" s="592"/>
      <c r="BQ18" s="592"/>
      <c r="BR18" s="592"/>
      <c r="BS18" s="592"/>
      <c r="BT18" s="592"/>
      <c r="BU18" s="592"/>
      <c r="BV18" s="592"/>
      <c r="BW18" s="592"/>
      <c r="BX18" s="592"/>
      <c r="BY18" s="592"/>
      <c r="BZ18" s="592"/>
      <c r="CA18" s="592"/>
      <c r="CB18" s="592"/>
      <c r="CC18" s="592"/>
      <c r="CD18" s="592"/>
      <c r="CE18" s="592"/>
      <c r="CF18" s="592"/>
      <c r="CG18" s="592"/>
      <c r="CH18" s="592"/>
      <c r="CI18" s="592"/>
      <c r="CJ18" s="592"/>
      <c r="CK18" s="592"/>
      <c r="CL18" s="592"/>
      <c r="CM18" s="592"/>
      <c r="CN18" s="592"/>
      <c r="CO18" s="592"/>
      <c r="CP18" s="592"/>
      <c r="CQ18" s="593">
        <f t="shared" si="11"/>
        <v>0</v>
      </c>
      <c r="CS18" s="594">
        <f t="shared" si="3"/>
        <v>7</v>
      </c>
      <c r="CT18" s="595">
        <f t="shared" si="3"/>
        <v>0</v>
      </c>
      <c r="CU18" s="596">
        <f t="shared" si="4"/>
        <v>0</v>
      </c>
      <c r="CV18" s="597"/>
      <c r="CW18" s="594" t="s">
        <v>850</v>
      </c>
      <c r="CX18" s="594" t="s">
        <v>626</v>
      </c>
      <c r="CY18" s="598" t="str">
        <f t="shared" si="8"/>
        <v>0</v>
      </c>
      <c r="CZ18" s="599" t="str">
        <f t="shared" si="9"/>
        <v>0</v>
      </c>
      <c r="DA18" s="598">
        <f>CY18*CZ18*$DF$10</f>
        <v>0</v>
      </c>
      <c r="DB18" s="600">
        <f t="shared" si="10"/>
        <v>61.88</v>
      </c>
      <c r="DC18" s="601">
        <v>1</v>
      </c>
      <c r="DD18" s="602">
        <f t="shared" si="6"/>
        <v>0</v>
      </c>
      <c r="DG18" s="546">
        <v>61.88</v>
      </c>
      <c r="DH18" s="600">
        <v>61.88</v>
      </c>
      <c r="DJ18" s="604">
        <f>DH27*CY27*$DF$10*5</f>
        <v>0</v>
      </c>
    </row>
    <row r="19" spans="1:114" ht="39.9" customHeight="1" x14ac:dyDescent="0.3">
      <c r="A19" s="588">
        <f t="shared" si="7"/>
        <v>8</v>
      </c>
      <c r="B19" s="605"/>
      <c r="C19" s="589"/>
      <c r="D19" s="590"/>
      <c r="E19" s="591"/>
      <c r="F19" s="591"/>
      <c r="G19" s="591"/>
      <c r="H19" s="591"/>
      <c r="I19" s="591"/>
      <c r="J19" s="591"/>
      <c r="K19" s="591"/>
      <c r="L19" s="591"/>
      <c r="M19" s="591"/>
      <c r="N19" s="591"/>
      <c r="O19" s="591"/>
      <c r="P19" s="591"/>
      <c r="Q19" s="591"/>
      <c r="R19" s="591"/>
      <c r="S19" s="591"/>
      <c r="T19" s="591"/>
      <c r="U19" s="591"/>
      <c r="V19" s="591"/>
      <c r="W19" s="591"/>
      <c r="X19" s="591"/>
      <c r="Y19" s="591"/>
      <c r="Z19" s="591"/>
      <c r="AA19" s="591"/>
      <c r="AB19" s="591"/>
      <c r="AC19" s="591"/>
      <c r="AD19" s="591"/>
      <c r="AE19" s="591"/>
      <c r="AF19" s="591"/>
      <c r="AG19" s="591"/>
      <c r="AH19" s="592"/>
      <c r="AI19" s="592"/>
      <c r="AJ19" s="592"/>
      <c r="AK19" s="592"/>
      <c r="AL19" s="592"/>
      <c r="AM19" s="592"/>
      <c r="AN19" s="591"/>
      <c r="AO19" s="591"/>
      <c r="AP19" s="591"/>
      <c r="AQ19" s="591"/>
      <c r="AR19" s="591"/>
      <c r="AS19" s="591"/>
      <c r="AT19" s="591"/>
      <c r="AU19" s="591"/>
      <c r="AV19" s="591"/>
      <c r="AW19" s="591"/>
      <c r="AX19" s="591"/>
      <c r="AY19" s="591"/>
      <c r="AZ19" s="591"/>
      <c r="BA19" s="591"/>
      <c r="BB19" s="592"/>
      <c r="BC19" s="592"/>
      <c r="BD19" s="592"/>
      <c r="BE19" s="592"/>
      <c r="BF19" s="592"/>
      <c r="BG19" s="592"/>
      <c r="BH19" s="592"/>
      <c r="BI19" s="592"/>
      <c r="BJ19" s="592"/>
      <c r="BK19" s="592"/>
      <c r="BL19" s="592"/>
      <c r="BM19" s="592"/>
      <c r="BN19" s="592"/>
      <c r="BO19" s="592"/>
      <c r="BP19" s="592"/>
      <c r="BQ19" s="592"/>
      <c r="BR19" s="592"/>
      <c r="BS19" s="592"/>
      <c r="BT19" s="592"/>
      <c r="BU19" s="592"/>
      <c r="BV19" s="592"/>
      <c r="BW19" s="592"/>
      <c r="BX19" s="592"/>
      <c r="BY19" s="592"/>
      <c r="BZ19" s="592"/>
      <c r="CA19" s="592"/>
      <c r="CB19" s="592"/>
      <c r="CC19" s="592"/>
      <c r="CD19" s="592"/>
      <c r="CE19" s="592"/>
      <c r="CF19" s="592"/>
      <c r="CG19" s="592"/>
      <c r="CH19" s="592"/>
      <c r="CI19" s="592"/>
      <c r="CJ19" s="592"/>
      <c r="CK19" s="592"/>
      <c r="CL19" s="592"/>
      <c r="CM19" s="592"/>
      <c r="CN19" s="592"/>
      <c r="CO19" s="592"/>
      <c r="CP19" s="592"/>
      <c r="CQ19" s="593">
        <f t="shared" si="11"/>
        <v>0</v>
      </c>
      <c r="CS19" s="594">
        <f t="shared" si="3"/>
        <v>8</v>
      </c>
      <c r="CT19" s="595">
        <f t="shared" si="3"/>
        <v>0</v>
      </c>
      <c r="CU19" s="596">
        <f t="shared" si="4"/>
        <v>0</v>
      </c>
      <c r="CV19" s="597"/>
      <c r="CW19" s="594" t="s">
        <v>850</v>
      </c>
      <c r="CX19" s="594" t="s">
        <v>626</v>
      </c>
      <c r="CY19" s="598" t="str">
        <f t="shared" si="8"/>
        <v>0</v>
      </c>
      <c r="CZ19" s="599" t="str">
        <f t="shared" si="9"/>
        <v>0</v>
      </c>
      <c r="DA19" s="598">
        <f t="shared" ref="DA19:DA31" si="12">CY19*CZ19*$DF$10</f>
        <v>0</v>
      </c>
      <c r="DB19" s="600">
        <f t="shared" si="10"/>
        <v>61.88</v>
      </c>
      <c r="DC19" s="601">
        <v>1</v>
      </c>
      <c r="DD19" s="602">
        <f t="shared" si="6"/>
        <v>0</v>
      </c>
      <c r="DG19" s="546">
        <v>61.88</v>
      </c>
      <c r="DH19" s="600">
        <v>61.88</v>
      </c>
    </row>
    <row r="20" spans="1:114" ht="39.9" customHeight="1" x14ac:dyDescent="0.3">
      <c r="A20" s="588">
        <f t="shared" si="7"/>
        <v>9</v>
      </c>
      <c r="B20" s="605"/>
      <c r="C20" s="589"/>
      <c r="D20" s="590"/>
      <c r="E20" s="591"/>
      <c r="F20" s="591"/>
      <c r="G20" s="591"/>
      <c r="H20" s="591"/>
      <c r="I20" s="591"/>
      <c r="J20" s="591"/>
      <c r="K20" s="591"/>
      <c r="L20" s="591"/>
      <c r="M20" s="591"/>
      <c r="N20" s="591"/>
      <c r="O20" s="591"/>
      <c r="P20" s="591"/>
      <c r="Q20" s="591"/>
      <c r="R20" s="591"/>
      <c r="S20" s="591"/>
      <c r="T20" s="591"/>
      <c r="U20" s="591"/>
      <c r="V20" s="591"/>
      <c r="W20" s="591"/>
      <c r="X20" s="591"/>
      <c r="Y20" s="591"/>
      <c r="Z20" s="591"/>
      <c r="AA20" s="591"/>
      <c r="AB20" s="591"/>
      <c r="AC20" s="591"/>
      <c r="AD20" s="591"/>
      <c r="AE20" s="591"/>
      <c r="AF20" s="591"/>
      <c r="AG20" s="591"/>
      <c r="AH20" s="592"/>
      <c r="AI20" s="592"/>
      <c r="AJ20" s="592"/>
      <c r="AK20" s="592"/>
      <c r="AL20" s="592"/>
      <c r="AM20" s="592"/>
      <c r="AN20" s="591"/>
      <c r="AO20" s="591"/>
      <c r="AP20" s="591"/>
      <c r="AQ20" s="591"/>
      <c r="AR20" s="591"/>
      <c r="AS20" s="591"/>
      <c r="AT20" s="591"/>
      <c r="AU20" s="591"/>
      <c r="AV20" s="591"/>
      <c r="AW20" s="591"/>
      <c r="AX20" s="591"/>
      <c r="AY20" s="591"/>
      <c r="AZ20" s="591"/>
      <c r="BA20" s="591"/>
      <c r="BB20" s="592"/>
      <c r="BC20" s="592"/>
      <c r="BD20" s="592"/>
      <c r="BE20" s="592"/>
      <c r="BF20" s="592"/>
      <c r="BG20" s="592"/>
      <c r="BH20" s="592"/>
      <c r="BI20" s="592"/>
      <c r="BJ20" s="592"/>
      <c r="BK20" s="592"/>
      <c r="BL20" s="592"/>
      <c r="BM20" s="592"/>
      <c r="BN20" s="592"/>
      <c r="BO20" s="592"/>
      <c r="BP20" s="592"/>
      <c r="BQ20" s="592"/>
      <c r="BR20" s="592"/>
      <c r="BS20" s="592"/>
      <c r="BT20" s="592"/>
      <c r="BU20" s="592"/>
      <c r="BV20" s="592"/>
      <c r="BW20" s="592"/>
      <c r="BX20" s="592"/>
      <c r="BY20" s="592"/>
      <c r="BZ20" s="592"/>
      <c r="CA20" s="592"/>
      <c r="CB20" s="592"/>
      <c r="CC20" s="592"/>
      <c r="CD20" s="592"/>
      <c r="CE20" s="592"/>
      <c r="CF20" s="592"/>
      <c r="CG20" s="592"/>
      <c r="CH20" s="592"/>
      <c r="CI20" s="592"/>
      <c r="CJ20" s="592"/>
      <c r="CK20" s="592"/>
      <c r="CL20" s="592"/>
      <c r="CM20" s="592"/>
      <c r="CN20" s="592"/>
      <c r="CO20" s="592"/>
      <c r="CP20" s="592"/>
      <c r="CQ20" s="593">
        <f t="shared" si="11"/>
        <v>0</v>
      </c>
      <c r="CS20" s="594">
        <f t="shared" si="3"/>
        <v>9</v>
      </c>
      <c r="CT20" s="595">
        <f t="shared" si="3"/>
        <v>0</v>
      </c>
      <c r="CU20" s="596">
        <f t="shared" si="4"/>
        <v>0</v>
      </c>
      <c r="CV20" s="597"/>
      <c r="CW20" s="594" t="s">
        <v>850</v>
      </c>
      <c r="CX20" s="594" t="s">
        <v>626</v>
      </c>
      <c r="CY20" s="598" t="str">
        <f t="shared" si="8"/>
        <v>0</v>
      </c>
      <c r="CZ20" s="599" t="str">
        <f t="shared" si="9"/>
        <v>0</v>
      </c>
      <c r="DA20" s="598">
        <f t="shared" si="12"/>
        <v>0</v>
      </c>
      <c r="DB20" s="600">
        <f t="shared" si="10"/>
        <v>61.88</v>
      </c>
      <c r="DC20" s="601">
        <v>1</v>
      </c>
      <c r="DD20" s="602">
        <f t="shared" si="6"/>
        <v>0</v>
      </c>
      <c r="DG20" s="546">
        <v>61.88</v>
      </c>
      <c r="DH20" s="600">
        <v>61.88</v>
      </c>
    </row>
    <row r="21" spans="1:114" ht="39.9" customHeight="1" x14ac:dyDescent="0.3">
      <c r="A21" s="588">
        <f t="shared" si="7"/>
        <v>10</v>
      </c>
      <c r="B21" s="605"/>
      <c r="C21" s="589"/>
      <c r="D21" s="590"/>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1"/>
      <c r="AD21" s="591"/>
      <c r="AE21" s="591"/>
      <c r="AF21" s="591"/>
      <c r="AG21" s="591"/>
      <c r="AH21" s="592"/>
      <c r="AI21" s="592"/>
      <c r="AJ21" s="592"/>
      <c r="AK21" s="592"/>
      <c r="AL21" s="592"/>
      <c r="AM21" s="592"/>
      <c r="AN21" s="591"/>
      <c r="AO21" s="591"/>
      <c r="AP21" s="591"/>
      <c r="AQ21" s="591"/>
      <c r="AR21" s="591"/>
      <c r="AS21" s="591"/>
      <c r="AT21" s="591"/>
      <c r="AU21" s="591"/>
      <c r="AV21" s="591"/>
      <c r="AW21" s="591"/>
      <c r="AX21" s="591"/>
      <c r="AY21" s="591"/>
      <c r="AZ21" s="591"/>
      <c r="BA21" s="591"/>
      <c r="BB21" s="592"/>
      <c r="BC21" s="592"/>
      <c r="BD21" s="592"/>
      <c r="BE21" s="592"/>
      <c r="BF21" s="592"/>
      <c r="BG21" s="592"/>
      <c r="BH21" s="592"/>
      <c r="BI21" s="592"/>
      <c r="BJ21" s="592"/>
      <c r="BK21" s="592"/>
      <c r="BL21" s="592"/>
      <c r="BM21" s="592"/>
      <c r="BN21" s="592"/>
      <c r="BO21" s="592"/>
      <c r="BP21" s="592"/>
      <c r="BQ21" s="592"/>
      <c r="BR21" s="592"/>
      <c r="BS21" s="592"/>
      <c r="BT21" s="592"/>
      <c r="BU21" s="592"/>
      <c r="BV21" s="592"/>
      <c r="BW21" s="592"/>
      <c r="BX21" s="592"/>
      <c r="BY21" s="592"/>
      <c r="BZ21" s="592"/>
      <c r="CA21" s="592"/>
      <c r="CB21" s="592"/>
      <c r="CC21" s="592"/>
      <c r="CD21" s="592"/>
      <c r="CE21" s="592"/>
      <c r="CF21" s="592"/>
      <c r="CG21" s="592"/>
      <c r="CH21" s="592"/>
      <c r="CI21" s="592"/>
      <c r="CJ21" s="592"/>
      <c r="CK21" s="592"/>
      <c r="CL21" s="592"/>
      <c r="CM21" s="592"/>
      <c r="CN21" s="592"/>
      <c r="CO21" s="592"/>
      <c r="CP21" s="592"/>
      <c r="CQ21" s="593">
        <f t="shared" si="11"/>
        <v>0</v>
      </c>
      <c r="CS21" s="594">
        <f t="shared" si="3"/>
        <v>10</v>
      </c>
      <c r="CT21" s="595">
        <f t="shared" si="3"/>
        <v>0</v>
      </c>
      <c r="CU21" s="596">
        <f t="shared" si="4"/>
        <v>0</v>
      </c>
      <c r="CV21" s="597"/>
      <c r="CW21" s="594" t="s">
        <v>850</v>
      </c>
      <c r="CX21" s="594" t="s">
        <v>626</v>
      </c>
      <c r="CY21" s="598" t="str">
        <f t="shared" si="8"/>
        <v>0</v>
      </c>
      <c r="CZ21" s="599" t="str">
        <f t="shared" si="9"/>
        <v>0</v>
      </c>
      <c r="DA21" s="598">
        <f t="shared" si="12"/>
        <v>0</v>
      </c>
      <c r="DB21" s="600">
        <f t="shared" si="10"/>
        <v>61.88</v>
      </c>
      <c r="DC21" s="601">
        <v>1</v>
      </c>
      <c r="DD21" s="602">
        <f t="shared" si="6"/>
        <v>0</v>
      </c>
      <c r="DG21" s="546">
        <v>61.88</v>
      </c>
      <c r="DH21" s="600">
        <v>61.88</v>
      </c>
      <c r="DJ21" s="604">
        <f>DH28*CY28*$DF$10*5</f>
        <v>0</v>
      </c>
    </row>
    <row r="22" spans="1:114" ht="39.9" customHeight="1" x14ac:dyDescent="0.3">
      <c r="A22" s="588">
        <f t="shared" si="7"/>
        <v>11</v>
      </c>
      <c r="B22" s="605"/>
      <c r="C22" s="589"/>
      <c r="D22" s="590"/>
      <c r="E22" s="591"/>
      <c r="F22" s="591"/>
      <c r="G22" s="591"/>
      <c r="H22" s="591"/>
      <c r="I22" s="591"/>
      <c r="J22" s="591"/>
      <c r="K22" s="591"/>
      <c r="L22" s="591"/>
      <c r="M22" s="591"/>
      <c r="N22" s="591"/>
      <c r="O22" s="591"/>
      <c r="P22" s="591"/>
      <c r="Q22" s="591"/>
      <c r="R22" s="591"/>
      <c r="S22" s="591"/>
      <c r="T22" s="591"/>
      <c r="U22" s="591"/>
      <c r="V22" s="591"/>
      <c r="W22" s="591"/>
      <c r="X22" s="591"/>
      <c r="Y22" s="591"/>
      <c r="Z22" s="591"/>
      <c r="AA22" s="591"/>
      <c r="AB22" s="591"/>
      <c r="AC22" s="591"/>
      <c r="AD22" s="591"/>
      <c r="AE22" s="591"/>
      <c r="AF22" s="591"/>
      <c r="AG22" s="591"/>
      <c r="AH22" s="592"/>
      <c r="AI22" s="592"/>
      <c r="AJ22" s="592"/>
      <c r="AK22" s="592"/>
      <c r="AL22" s="592"/>
      <c r="AM22" s="592"/>
      <c r="AN22" s="591"/>
      <c r="AO22" s="591"/>
      <c r="AP22" s="591"/>
      <c r="AQ22" s="591"/>
      <c r="AR22" s="591"/>
      <c r="AS22" s="591"/>
      <c r="AT22" s="591"/>
      <c r="AU22" s="591"/>
      <c r="AV22" s="591"/>
      <c r="AW22" s="591"/>
      <c r="AX22" s="591"/>
      <c r="AY22" s="591"/>
      <c r="AZ22" s="591"/>
      <c r="BA22" s="591"/>
      <c r="BB22" s="592"/>
      <c r="BC22" s="592"/>
      <c r="BD22" s="592"/>
      <c r="BE22" s="592"/>
      <c r="BF22" s="592"/>
      <c r="BG22" s="592"/>
      <c r="BH22" s="592"/>
      <c r="BI22" s="592"/>
      <c r="BJ22" s="592"/>
      <c r="BK22" s="606"/>
      <c r="BL22" s="606"/>
      <c r="BM22" s="606"/>
      <c r="BN22" s="592"/>
      <c r="BO22" s="592"/>
      <c r="BP22" s="606"/>
      <c r="BQ22" s="606"/>
      <c r="BR22" s="592"/>
      <c r="BS22" s="592"/>
      <c r="BT22" s="592"/>
      <c r="BU22" s="592"/>
      <c r="BV22" s="592"/>
      <c r="BW22" s="592"/>
      <c r="BX22" s="592"/>
      <c r="BY22" s="592"/>
      <c r="BZ22" s="592"/>
      <c r="CA22" s="592"/>
      <c r="CB22" s="592"/>
      <c r="CC22" s="592"/>
      <c r="CD22" s="592"/>
      <c r="CE22" s="592"/>
      <c r="CF22" s="592"/>
      <c r="CG22" s="592"/>
      <c r="CH22" s="592"/>
      <c r="CI22" s="592"/>
      <c r="CJ22" s="592"/>
      <c r="CK22" s="592"/>
      <c r="CL22" s="592"/>
      <c r="CM22" s="592"/>
      <c r="CN22" s="592"/>
      <c r="CO22" s="592"/>
      <c r="CP22" s="592"/>
      <c r="CQ22" s="593">
        <f t="shared" si="11"/>
        <v>0</v>
      </c>
      <c r="CS22" s="594">
        <f t="shared" si="3"/>
        <v>11</v>
      </c>
      <c r="CT22" s="595">
        <f t="shared" si="3"/>
        <v>0</v>
      </c>
      <c r="CU22" s="596">
        <f t="shared" si="4"/>
        <v>0</v>
      </c>
      <c r="CV22" s="597"/>
      <c r="CW22" s="594" t="s">
        <v>850</v>
      </c>
      <c r="CX22" s="594" t="s">
        <v>626</v>
      </c>
      <c r="CY22" s="598" t="str">
        <f t="shared" si="8"/>
        <v>0</v>
      </c>
      <c r="CZ22" s="599" t="str">
        <f t="shared" si="9"/>
        <v>0</v>
      </c>
      <c r="DA22" s="598">
        <f t="shared" si="12"/>
        <v>0</v>
      </c>
      <c r="DB22" s="600">
        <f t="shared" si="10"/>
        <v>61.88</v>
      </c>
      <c r="DC22" s="601">
        <v>1</v>
      </c>
      <c r="DD22" s="602">
        <f t="shared" si="6"/>
        <v>0</v>
      </c>
      <c r="DG22" s="546">
        <v>61.88</v>
      </c>
      <c r="DH22" s="600">
        <v>61.88</v>
      </c>
      <c r="DJ22" s="604"/>
    </row>
    <row r="23" spans="1:114" ht="39.9" customHeight="1" x14ac:dyDescent="0.3">
      <c r="A23" s="588">
        <f t="shared" si="7"/>
        <v>12</v>
      </c>
      <c r="B23" s="605"/>
      <c r="C23" s="589"/>
      <c r="D23" s="590"/>
      <c r="E23" s="591"/>
      <c r="F23" s="591"/>
      <c r="G23" s="591"/>
      <c r="H23" s="591"/>
      <c r="I23" s="591"/>
      <c r="J23" s="591"/>
      <c r="K23" s="591"/>
      <c r="L23" s="591"/>
      <c r="M23" s="591"/>
      <c r="N23" s="591"/>
      <c r="O23" s="591"/>
      <c r="P23" s="591"/>
      <c r="Q23" s="591"/>
      <c r="R23" s="591"/>
      <c r="S23" s="591"/>
      <c r="T23" s="591"/>
      <c r="U23" s="591"/>
      <c r="V23" s="591"/>
      <c r="W23" s="591"/>
      <c r="X23" s="591"/>
      <c r="Y23" s="591"/>
      <c r="Z23" s="591"/>
      <c r="AA23" s="591"/>
      <c r="AB23" s="591"/>
      <c r="AC23" s="591"/>
      <c r="AD23" s="591"/>
      <c r="AE23" s="591"/>
      <c r="AF23" s="591"/>
      <c r="AG23" s="591"/>
      <c r="AH23" s="591"/>
      <c r="AI23" s="591"/>
      <c r="AJ23" s="591"/>
      <c r="AK23" s="591"/>
      <c r="AL23" s="591"/>
      <c r="AM23" s="591"/>
      <c r="AN23" s="591"/>
      <c r="AO23" s="591"/>
      <c r="AP23" s="591"/>
      <c r="AQ23" s="591"/>
      <c r="AR23" s="591"/>
      <c r="AS23" s="591"/>
      <c r="AT23" s="591"/>
      <c r="AU23" s="591"/>
      <c r="AV23" s="591"/>
      <c r="AW23" s="591"/>
      <c r="AX23" s="591"/>
      <c r="AY23" s="591"/>
      <c r="AZ23" s="591"/>
      <c r="BA23" s="591"/>
      <c r="BB23" s="591"/>
      <c r="BC23" s="591"/>
      <c r="BD23" s="591"/>
      <c r="BE23" s="591"/>
      <c r="BF23" s="592"/>
      <c r="BG23" s="592"/>
      <c r="BH23" s="592"/>
      <c r="BI23" s="592"/>
      <c r="BJ23" s="592"/>
      <c r="BK23" s="592"/>
      <c r="BL23" s="592"/>
      <c r="BM23" s="592"/>
      <c r="BN23" s="592"/>
      <c r="BO23" s="592"/>
      <c r="BP23" s="592"/>
      <c r="BQ23" s="592"/>
      <c r="BR23" s="592"/>
      <c r="BS23" s="592"/>
      <c r="BT23" s="592"/>
      <c r="BU23" s="592"/>
      <c r="BV23" s="592"/>
      <c r="BW23" s="592"/>
      <c r="BX23" s="592"/>
      <c r="BY23" s="592"/>
      <c r="BZ23" s="592"/>
      <c r="CA23" s="592"/>
      <c r="CB23" s="592"/>
      <c r="CC23" s="592"/>
      <c r="CD23" s="592"/>
      <c r="CE23" s="592"/>
      <c r="CF23" s="592"/>
      <c r="CG23" s="592"/>
      <c r="CH23" s="592"/>
      <c r="CI23" s="592"/>
      <c r="CJ23" s="592"/>
      <c r="CK23" s="592"/>
      <c r="CL23" s="592"/>
      <c r="CM23" s="592"/>
      <c r="CN23" s="592"/>
      <c r="CO23" s="592"/>
      <c r="CP23" s="592"/>
      <c r="CQ23" s="593">
        <f t="shared" si="11"/>
        <v>0</v>
      </c>
      <c r="CS23" s="594">
        <f t="shared" si="3"/>
        <v>12</v>
      </c>
      <c r="CT23" s="595">
        <f t="shared" si="3"/>
        <v>0</v>
      </c>
      <c r="CU23" s="596">
        <f t="shared" si="4"/>
        <v>0</v>
      </c>
      <c r="CV23" s="597"/>
      <c r="CW23" s="594" t="s">
        <v>850</v>
      </c>
      <c r="CX23" s="594" t="s">
        <v>626</v>
      </c>
      <c r="CY23" s="598" t="str">
        <f t="shared" si="8"/>
        <v>0</v>
      </c>
      <c r="CZ23" s="599" t="str">
        <f t="shared" si="9"/>
        <v>0</v>
      </c>
      <c r="DA23" s="598">
        <f t="shared" si="12"/>
        <v>0</v>
      </c>
      <c r="DB23" s="600">
        <f t="shared" si="10"/>
        <v>61.88</v>
      </c>
      <c r="DC23" s="601">
        <v>1</v>
      </c>
      <c r="DD23" s="602">
        <f t="shared" si="6"/>
        <v>0</v>
      </c>
      <c r="DG23" s="546">
        <v>61.88</v>
      </c>
      <c r="DH23" s="600">
        <v>61.88</v>
      </c>
    </row>
    <row r="24" spans="1:114" ht="39.9" customHeight="1" x14ac:dyDescent="0.3">
      <c r="A24" s="588">
        <f t="shared" si="7"/>
        <v>13</v>
      </c>
      <c r="B24" s="605"/>
      <c r="C24" s="589"/>
      <c r="D24" s="590"/>
      <c r="E24" s="591"/>
      <c r="F24" s="591"/>
      <c r="G24" s="591"/>
      <c r="H24" s="591"/>
      <c r="I24" s="591"/>
      <c r="J24" s="591"/>
      <c r="K24" s="591"/>
      <c r="L24" s="591"/>
      <c r="M24" s="591"/>
      <c r="N24" s="591"/>
      <c r="O24" s="591"/>
      <c r="P24" s="591"/>
      <c r="Q24" s="591"/>
      <c r="R24" s="591"/>
      <c r="S24" s="591"/>
      <c r="T24" s="591"/>
      <c r="U24" s="591"/>
      <c r="V24" s="591"/>
      <c r="W24" s="591"/>
      <c r="X24" s="591"/>
      <c r="Y24" s="591"/>
      <c r="Z24" s="591"/>
      <c r="AA24" s="591"/>
      <c r="AB24" s="591"/>
      <c r="AC24" s="591"/>
      <c r="AD24" s="591"/>
      <c r="AE24" s="591"/>
      <c r="AF24" s="591"/>
      <c r="AG24" s="591"/>
      <c r="AH24" s="591"/>
      <c r="AI24" s="591"/>
      <c r="AJ24" s="591"/>
      <c r="AK24" s="591"/>
      <c r="AL24" s="591"/>
      <c r="AM24" s="591"/>
      <c r="AN24" s="591"/>
      <c r="AO24" s="591"/>
      <c r="AP24" s="591"/>
      <c r="AQ24" s="591"/>
      <c r="AR24" s="591"/>
      <c r="AS24" s="591"/>
      <c r="AT24" s="591"/>
      <c r="AU24" s="591"/>
      <c r="AV24" s="591"/>
      <c r="AW24" s="591"/>
      <c r="AX24" s="591"/>
      <c r="AY24" s="591"/>
      <c r="AZ24" s="591"/>
      <c r="BA24" s="591"/>
      <c r="BB24" s="591"/>
      <c r="BC24" s="591"/>
      <c r="BD24" s="591"/>
      <c r="BE24" s="591"/>
      <c r="BF24" s="592"/>
      <c r="BG24" s="592"/>
      <c r="BH24" s="592"/>
      <c r="BI24" s="592"/>
      <c r="BJ24" s="592"/>
      <c r="BK24" s="592"/>
      <c r="BL24" s="592"/>
      <c r="BM24" s="592"/>
      <c r="BN24" s="592"/>
      <c r="BO24" s="592"/>
      <c r="BP24" s="592"/>
      <c r="BQ24" s="592"/>
      <c r="BR24" s="592"/>
      <c r="BS24" s="592"/>
      <c r="BT24" s="592"/>
      <c r="BU24" s="592"/>
      <c r="BV24" s="592"/>
      <c r="BW24" s="592"/>
      <c r="BX24" s="592"/>
      <c r="BY24" s="592"/>
      <c r="BZ24" s="592"/>
      <c r="CA24" s="592"/>
      <c r="CB24" s="592"/>
      <c r="CC24" s="592"/>
      <c r="CD24" s="592"/>
      <c r="CE24" s="592"/>
      <c r="CF24" s="592"/>
      <c r="CG24" s="592"/>
      <c r="CH24" s="592"/>
      <c r="CI24" s="592"/>
      <c r="CJ24" s="592"/>
      <c r="CK24" s="592"/>
      <c r="CL24" s="592"/>
      <c r="CM24" s="592"/>
      <c r="CN24" s="592"/>
      <c r="CO24" s="592"/>
      <c r="CP24" s="592"/>
      <c r="CQ24" s="593">
        <f t="shared" si="11"/>
        <v>0</v>
      </c>
      <c r="CS24" s="594">
        <f t="shared" si="3"/>
        <v>13</v>
      </c>
      <c r="CT24" s="595">
        <f t="shared" si="3"/>
        <v>0</v>
      </c>
      <c r="CU24" s="596">
        <f t="shared" si="4"/>
        <v>0</v>
      </c>
      <c r="CV24" s="597"/>
      <c r="CW24" s="594" t="s">
        <v>850</v>
      </c>
      <c r="CX24" s="594" t="s">
        <v>626</v>
      </c>
      <c r="CY24" s="598" t="str">
        <f t="shared" si="8"/>
        <v>0</v>
      </c>
      <c r="CZ24" s="599" t="str">
        <f t="shared" si="9"/>
        <v>0</v>
      </c>
      <c r="DA24" s="598">
        <f t="shared" si="12"/>
        <v>0</v>
      </c>
      <c r="DB24" s="600">
        <f t="shared" si="10"/>
        <v>61.88</v>
      </c>
      <c r="DC24" s="601">
        <v>1</v>
      </c>
      <c r="DD24" s="602">
        <f t="shared" si="6"/>
        <v>0</v>
      </c>
      <c r="DG24" s="546">
        <v>61.88</v>
      </c>
      <c r="DH24" s="600">
        <v>61.88</v>
      </c>
      <c r="DJ24" s="604"/>
    </row>
    <row r="25" spans="1:114" ht="39.9" customHeight="1" x14ac:dyDescent="0.3">
      <c r="A25" s="588">
        <f t="shared" si="7"/>
        <v>14</v>
      </c>
      <c r="B25" s="605"/>
      <c r="C25" s="589"/>
      <c r="D25" s="590"/>
      <c r="E25" s="591"/>
      <c r="F25" s="591"/>
      <c r="G25" s="591"/>
      <c r="H25" s="591"/>
      <c r="I25" s="591"/>
      <c r="J25" s="591"/>
      <c r="K25" s="591"/>
      <c r="L25" s="591"/>
      <c r="M25" s="591"/>
      <c r="N25" s="591"/>
      <c r="O25" s="591"/>
      <c r="P25" s="591"/>
      <c r="Q25" s="591"/>
      <c r="R25" s="591"/>
      <c r="S25" s="591"/>
      <c r="T25" s="591"/>
      <c r="U25" s="591"/>
      <c r="V25" s="591"/>
      <c r="W25" s="591"/>
      <c r="X25" s="591"/>
      <c r="Y25" s="591"/>
      <c r="Z25" s="591"/>
      <c r="AA25" s="591"/>
      <c r="AB25" s="591"/>
      <c r="AC25" s="591"/>
      <c r="AD25" s="591"/>
      <c r="AE25" s="591"/>
      <c r="AF25" s="591"/>
      <c r="AG25" s="591"/>
      <c r="AH25" s="591"/>
      <c r="AI25" s="591"/>
      <c r="AJ25" s="591"/>
      <c r="AK25" s="591"/>
      <c r="AL25" s="591"/>
      <c r="AM25" s="591"/>
      <c r="AN25" s="591"/>
      <c r="AO25" s="591"/>
      <c r="AP25" s="591"/>
      <c r="AQ25" s="591"/>
      <c r="AR25" s="591"/>
      <c r="AS25" s="591"/>
      <c r="AT25" s="591"/>
      <c r="AU25" s="591"/>
      <c r="AV25" s="591"/>
      <c r="AW25" s="591"/>
      <c r="AX25" s="591"/>
      <c r="AY25" s="591"/>
      <c r="AZ25" s="591"/>
      <c r="BA25" s="591"/>
      <c r="BB25" s="591"/>
      <c r="BC25" s="591"/>
      <c r="BD25" s="591"/>
      <c r="BE25" s="591"/>
      <c r="BF25" s="591"/>
      <c r="BG25" s="592"/>
      <c r="BH25" s="592"/>
      <c r="BI25" s="592"/>
      <c r="BJ25" s="592"/>
      <c r="BK25" s="592"/>
      <c r="BL25" s="592"/>
      <c r="BM25" s="592"/>
      <c r="BN25" s="592"/>
      <c r="BO25" s="592"/>
      <c r="BP25" s="592"/>
      <c r="BQ25" s="592"/>
      <c r="BR25" s="592"/>
      <c r="BS25" s="592"/>
      <c r="BT25" s="592"/>
      <c r="BU25" s="592"/>
      <c r="BV25" s="592"/>
      <c r="BW25" s="592"/>
      <c r="BX25" s="592"/>
      <c r="BY25" s="592"/>
      <c r="BZ25" s="592"/>
      <c r="CA25" s="592"/>
      <c r="CB25" s="592"/>
      <c r="CC25" s="592"/>
      <c r="CD25" s="592"/>
      <c r="CE25" s="592"/>
      <c r="CF25" s="592"/>
      <c r="CG25" s="592"/>
      <c r="CH25" s="592"/>
      <c r="CI25" s="592"/>
      <c r="CJ25" s="592"/>
      <c r="CK25" s="592"/>
      <c r="CL25" s="592"/>
      <c r="CM25" s="592"/>
      <c r="CN25" s="592"/>
      <c r="CO25" s="592"/>
      <c r="CP25" s="592"/>
      <c r="CQ25" s="593">
        <f t="shared" si="11"/>
        <v>0</v>
      </c>
      <c r="CS25" s="594">
        <f t="shared" si="3"/>
        <v>14</v>
      </c>
      <c r="CT25" s="595">
        <f t="shared" si="3"/>
        <v>0</v>
      </c>
      <c r="CU25" s="596">
        <f t="shared" si="4"/>
        <v>0</v>
      </c>
      <c r="CV25" s="597"/>
      <c r="CW25" s="594" t="s">
        <v>850</v>
      </c>
      <c r="CX25" s="594" t="s">
        <v>626</v>
      </c>
      <c r="CY25" s="598" t="str">
        <f t="shared" si="8"/>
        <v>0</v>
      </c>
      <c r="CZ25" s="599" t="str">
        <f t="shared" si="9"/>
        <v>0</v>
      </c>
      <c r="DA25" s="598">
        <f t="shared" si="12"/>
        <v>0</v>
      </c>
      <c r="DB25" s="600">
        <f t="shared" si="10"/>
        <v>61.88</v>
      </c>
      <c r="DC25" s="601">
        <v>1</v>
      </c>
      <c r="DD25" s="602">
        <f t="shared" si="6"/>
        <v>0</v>
      </c>
      <c r="DG25" s="546">
        <v>61.88</v>
      </c>
      <c r="DH25" s="600">
        <v>61.88</v>
      </c>
      <c r="DJ25" s="604"/>
    </row>
    <row r="26" spans="1:114" ht="39.9" customHeight="1" x14ac:dyDescent="0.3">
      <c r="A26" s="588">
        <f t="shared" si="7"/>
        <v>15</v>
      </c>
      <c r="B26" s="605"/>
      <c r="C26" s="589"/>
      <c r="D26" s="590"/>
      <c r="E26" s="591"/>
      <c r="F26" s="591"/>
      <c r="G26" s="591"/>
      <c r="H26" s="591"/>
      <c r="I26" s="591"/>
      <c r="J26" s="591"/>
      <c r="K26" s="591"/>
      <c r="L26" s="591"/>
      <c r="M26" s="591"/>
      <c r="N26" s="591"/>
      <c r="O26" s="591"/>
      <c r="P26" s="591"/>
      <c r="Q26" s="591"/>
      <c r="R26" s="591"/>
      <c r="S26" s="591"/>
      <c r="T26" s="591"/>
      <c r="U26" s="591"/>
      <c r="V26" s="591"/>
      <c r="W26" s="591"/>
      <c r="X26" s="591"/>
      <c r="Y26" s="591"/>
      <c r="Z26" s="591"/>
      <c r="AA26" s="591"/>
      <c r="AB26" s="591"/>
      <c r="AC26" s="591"/>
      <c r="AD26" s="591"/>
      <c r="AE26" s="591"/>
      <c r="AF26" s="591"/>
      <c r="AG26" s="591"/>
      <c r="AH26" s="591"/>
      <c r="AI26" s="591"/>
      <c r="AJ26" s="591"/>
      <c r="AK26" s="591"/>
      <c r="AL26" s="591"/>
      <c r="AM26" s="591"/>
      <c r="AN26" s="591"/>
      <c r="AO26" s="591"/>
      <c r="AP26" s="591"/>
      <c r="AQ26" s="591"/>
      <c r="AR26" s="591"/>
      <c r="AS26" s="591"/>
      <c r="AT26" s="591"/>
      <c r="AU26" s="591"/>
      <c r="AV26" s="591"/>
      <c r="AW26" s="591"/>
      <c r="AX26" s="591"/>
      <c r="AY26" s="591"/>
      <c r="AZ26" s="591"/>
      <c r="BA26" s="591"/>
      <c r="BB26" s="591"/>
      <c r="BC26" s="591"/>
      <c r="BD26" s="591"/>
      <c r="BE26" s="591"/>
      <c r="BF26" s="591"/>
      <c r="BG26" s="592"/>
      <c r="BH26" s="592"/>
      <c r="BI26" s="592"/>
      <c r="BJ26" s="592"/>
      <c r="BK26" s="592"/>
      <c r="BL26" s="592"/>
      <c r="BM26" s="592"/>
      <c r="BN26" s="592"/>
      <c r="BO26" s="592"/>
      <c r="BP26" s="592"/>
      <c r="BQ26" s="592"/>
      <c r="BR26" s="592"/>
      <c r="BS26" s="592"/>
      <c r="BT26" s="592"/>
      <c r="BU26" s="592"/>
      <c r="BV26" s="592"/>
      <c r="BW26" s="592"/>
      <c r="BX26" s="592"/>
      <c r="BY26" s="592"/>
      <c r="BZ26" s="592"/>
      <c r="CA26" s="592"/>
      <c r="CB26" s="592"/>
      <c r="CC26" s="592"/>
      <c r="CD26" s="592"/>
      <c r="CE26" s="592"/>
      <c r="CF26" s="592"/>
      <c r="CG26" s="592"/>
      <c r="CH26" s="592"/>
      <c r="CI26" s="592"/>
      <c r="CJ26" s="592"/>
      <c r="CK26" s="592"/>
      <c r="CL26" s="592"/>
      <c r="CM26" s="592"/>
      <c r="CN26" s="592"/>
      <c r="CO26" s="592"/>
      <c r="CP26" s="592"/>
      <c r="CQ26" s="593">
        <f t="shared" si="11"/>
        <v>0</v>
      </c>
      <c r="CS26" s="594">
        <f t="shared" si="3"/>
        <v>15</v>
      </c>
      <c r="CT26" s="595">
        <f t="shared" si="3"/>
        <v>0</v>
      </c>
      <c r="CU26" s="596">
        <f t="shared" si="4"/>
        <v>0</v>
      </c>
      <c r="CV26" s="597"/>
      <c r="CW26" s="594" t="s">
        <v>850</v>
      </c>
      <c r="CX26" s="594" t="s">
        <v>626</v>
      </c>
      <c r="CY26" s="598" t="str">
        <f t="shared" si="8"/>
        <v>0</v>
      </c>
      <c r="CZ26" s="599" t="str">
        <f t="shared" si="9"/>
        <v>0</v>
      </c>
      <c r="DA26" s="598">
        <f t="shared" si="12"/>
        <v>0</v>
      </c>
      <c r="DB26" s="600">
        <f>DG26*$DH$10</f>
        <v>61.88</v>
      </c>
      <c r="DC26" s="601">
        <v>1</v>
      </c>
      <c r="DD26" s="602">
        <f t="shared" si="6"/>
        <v>0</v>
      </c>
      <c r="DG26" s="546">
        <v>61.88</v>
      </c>
      <c r="DH26" s="600">
        <v>61.88</v>
      </c>
    </row>
    <row r="27" spans="1:114" ht="39.9" customHeight="1" x14ac:dyDescent="0.3">
      <c r="A27" s="588">
        <f t="shared" si="7"/>
        <v>16</v>
      </c>
      <c r="B27" s="605"/>
      <c r="C27" s="589"/>
      <c r="D27" s="590"/>
      <c r="E27" s="591"/>
      <c r="F27" s="591"/>
      <c r="G27" s="591"/>
      <c r="H27" s="591"/>
      <c r="I27" s="591"/>
      <c r="J27" s="591"/>
      <c r="K27" s="591"/>
      <c r="L27" s="591"/>
      <c r="M27" s="591"/>
      <c r="N27" s="591"/>
      <c r="O27" s="591"/>
      <c r="P27" s="591"/>
      <c r="Q27" s="591"/>
      <c r="R27" s="591"/>
      <c r="S27" s="591"/>
      <c r="T27" s="591"/>
      <c r="U27" s="591"/>
      <c r="V27" s="591"/>
      <c r="W27" s="591"/>
      <c r="X27" s="591"/>
      <c r="Y27" s="591"/>
      <c r="Z27" s="591"/>
      <c r="AA27" s="591"/>
      <c r="AB27" s="591"/>
      <c r="AC27" s="591"/>
      <c r="AD27" s="591"/>
      <c r="AE27" s="591"/>
      <c r="AF27" s="591"/>
      <c r="AG27" s="591"/>
      <c r="AH27" s="591"/>
      <c r="AI27" s="591"/>
      <c r="AJ27" s="591"/>
      <c r="AK27" s="591"/>
      <c r="AL27" s="591"/>
      <c r="AM27" s="591"/>
      <c r="AN27" s="591"/>
      <c r="AO27" s="591"/>
      <c r="AP27" s="591"/>
      <c r="AQ27" s="591"/>
      <c r="AR27" s="591"/>
      <c r="AS27" s="591"/>
      <c r="AT27" s="591"/>
      <c r="AU27" s="591"/>
      <c r="AV27" s="591"/>
      <c r="AW27" s="591"/>
      <c r="AX27" s="591"/>
      <c r="AY27" s="591"/>
      <c r="AZ27" s="591"/>
      <c r="BA27" s="591"/>
      <c r="BB27" s="591"/>
      <c r="BC27" s="591"/>
      <c r="BD27" s="591"/>
      <c r="BE27" s="591"/>
      <c r="BF27" s="591"/>
      <c r="BG27" s="592"/>
      <c r="BH27" s="592"/>
      <c r="BI27" s="592"/>
      <c r="BJ27" s="592"/>
      <c r="BK27" s="592"/>
      <c r="BL27" s="592"/>
      <c r="BM27" s="592"/>
      <c r="BN27" s="592"/>
      <c r="BO27" s="592"/>
      <c r="BP27" s="592"/>
      <c r="BQ27" s="592"/>
      <c r="BR27" s="592"/>
      <c r="BS27" s="592"/>
      <c r="BT27" s="592"/>
      <c r="BU27" s="592"/>
      <c r="BV27" s="592"/>
      <c r="BW27" s="592"/>
      <c r="BX27" s="592"/>
      <c r="BY27" s="592"/>
      <c r="BZ27" s="592"/>
      <c r="CA27" s="592"/>
      <c r="CB27" s="592"/>
      <c r="CC27" s="592"/>
      <c r="CD27" s="592"/>
      <c r="CE27" s="592"/>
      <c r="CF27" s="592"/>
      <c r="CG27" s="592"/>
      <c r="CH27" s="592"/>
      <c r="CI27" s="592"/>
      <c r="CJ27" s="592"/>
      <c r="CK27" s="592"/>
      <c r="CL27" s="592"/>
      <c r="CM27" s="592"/>
      <c r="CN27" s="592"/>
      <c r="CO27" s="592"/>
      <c r="CP27" s="592"/>
      <c r="CQ27" s="593">
        <f t="shared" si="11"/>
        <v>0</v>
      </c>
      <c r="CS27" s="594">
        <f t="shared" si="3"/>
        <v>16</v>
      </c>
      <c r="CT27" s="595">
        <f t="shared" si="3"/>
        <v>0</v>
      </c>
      <c r="CU27" s="596">
        <f t="shared" si="4"/>
        <v>0</v>
      </c>
      <c r="CV27" s="597"/>
      <c r="CW27" s="594" t="s">
        <v>850</v>
      </c>
      <c r="CX27" s="594" t="s">
        <v>626</v>
      </c>
      <c r="CY27" s="598" t="str">
        <f t="shared" si="8"/>
        <v>0</v>
      </c>
      <c r="CZ27" s="599" t="str">
        <f t="shared" si="9"/>
        <v>0</v>
      </c>
      <c r="DA27" s="598">
        <f t="shared" si="12"/>
        <v>0</v>
      </c>
      <c r="DB27" s="600">
        <f>DG27*$DH$10</f>
        <v>61.88</v>
      </c>
      <c r="DC27" s="601">
        <v>1</v>
      </c>
      <c r="DD27" s="602">
        <f t="shared" si="6"/>
        <v>0</v>
      </c>
      <c r="DG27" s="546">
        <v>61.88</v>
      </c>
      <c r="DH27" s="600">
        <v>61.88</v>
      </c>
    </row>
    <row r="28" spans="1:114" ht="39.9" customHeight="1" x14ac:dyDescent="0.3">
      <c r="A28" s="588">
        <f t="shared" si="7"/>
        <v>17</v>
      </c>
      <c r="B28" s="605"/>
      <c r="C28" s="589"/>
      <c r="D28" s="590"/>
      <c r="E28" s="591"/>
      <c r="F28" s="591"/>
      <c r="G28" s="591"/>
      <c r="H28" s="591"/>
      <c r="I28" s="591"/>
      <c r="J28" s="591"/>
      <c r="K28" s="591"/>
      <c r="L28" s="591"/>
      <c r="M28" s="591"/>
      <c r="N28" s="591"/>
      <c r="O28" s="591"/>
      <c r="P28" s="591"/>
      <c r="Q28" s="591"/>
      <c r="R28" s="591"/>
      <c r="S28" s="591"/>
      <c r="T28" s="591"/>
      <c r="U28" s="591"/>
      <c r="V28" s="591"/>
      <c r="W28" s="591"/>
      <c r="X28" s="591"/>
      <c r="Y28" s="591"/>
      <c r="Z28" s="591"/>
      <c r="AA28" s="591"/>
      <c r="AB28" s="591"/>
      <c r="AC28" s="591"/>
      <c r="AD28" s="591"/>
      <c r="AE28" s="591"/>
      <c r="AF28" s="591"/>
      <c r="AG28" s="591"/>
      <c r="AH28" s="591"/>
      <c r="AI28" s="591"/>
      <c r="AJ28" s="591"/>
      <c r="AK28" s="591"/>
      <c r="AL28" s="591"/>
      <c r="AM28" s="591"/>
      <c r="AN28" s="591"/>
      <c r="AO28" s="591"/>
      <c r="AP28" s="591"/>
      <c r="AQ28" s="603"/>
      <c r="AR28" s="603"/>
      <c r="AS28" s="591"/>
      <c r="AT28" s="591"/>
      <c r="AU28" s="591"/>
      <c r="AV28" s="591"/>
      <c r="AW28" s="591"/>
      <c r="AX28" s="591"/>
      <c r="AY28" s="591"/>
      <c r="AZ28" s="591"/>
      <c r="BA28" s="591"/>
      <c r="BB28" s="591"/>
      <c r="BC28" s="591"/>
      <c r="BD28" s="591"/>
      <c r="BE28" s="591"/>
      <c r="BF28" s="591"/>
      <c r="BG28" s="592"/>
      <c r="BH28" s="592"/>
      <c r="BI28" s="592"/>
      <c r="BJ28" s="592"/>
      <c r="BK28" s="592"/>
      <c r="BL28" s="592"/>
      <c r="BM28" s="592"/>
      <c r="BN28" s="592"/>
      <c r="BO28" s="592"/>
      <c r="BP28" s="592"/>
      <c r="BQ28" s="592"/>
      <c r="BR28" s="592"/>
      <c r="BS28" s="592"/>
      <c r="BT28" s="592"/>
      <c r="BU28" s="592"/>
      <c r="BV28" s="592"/>
      <c r="BW28" s="592"/>
      <c r="BX28" s="592"/>
      <c r="BY28" s="592"/>
      <c r="BZ28" s="592"/>
      <c r="CA28" s="592"/>
      <c r="CB28" s="592"/>
      <c r="CC28" s="592"/>
      <c r="CD28" s="592"/>
      <c r="CE28" s="592"/>
      <c r="CF28" s="592"/>
      <c r="CG28" s="592"/>
      <c r="CH28" s="592"/>
      <c r="CI28" s="592"/>
      <c r="CJ28" s="592"/>
      <c r="CK28" s="592"/>
      <c r="CL28" s="592"/>
      <c r="CM28" s="592"/>
      <c r="CN28" s="592"/>
      <c r="CO28" s="592"/>
      <c r="CP28" s="592"/>
      <c r="CQ28" s="593">
        <f t="shared" si="11"/>
        <v>0</v>
      </c>
      <c r="CS28" s="594">
        <f t="shared" si="3"/>
        <v>17</v>
      </c>
      <c r="CT28" s="595">
        <f t="shared" si="3"/>
        <v>0</v>
      </c>
      <c r="CU28" s="596">
        <f t="shared" si="4"/>
        <v>0</v>
      </c>
      <c r="CV28" s="597"/>
      <c r="CW28" s="594" t="s">
        <v>850</v>
      </c>
      <c r="CX28" s="594" t="s">
        <v>626</v>
      </c>
      <c r="CY28" s="598" t="str">
        <f t="shared" si="8"/>
        <v>0</v>
      </c>
      <c r="CZ28" s="599" t="str">
        <f t="shared" si="9"/>
        <v>0</v>
      </c>
      <c r="DA28" s="598">
        <f t="shared" si="12"/>
        <v>0</v>
      </c>
      <c r="DB28" s="600">
        <f>DG28*$DH$10</f>
        <v>61.88</v>
      </c>
      <c r="DC28" s="601">
        <v>1</v>
      </c>
      <c r="DD28" s="602">
        <f t="shared" si="6"/>
        <v>0</v>
      </c>
      <c r="DG28" s="546">
        <v>61.88</v>
      </c>
      <c r="DH28" s="600">
        <v>61.88</v>
      </c>
    </row>
    <row r="29" spans="1:114" ht="39.9" customHeight="1" x14ac:dyDescent="0.3">
      <c r="A29" s="588">
        <f t="shared" si="7"/>
        <v>18</v>
      </c>
      <c r="B29" s="605"/>
      <c r="C29" s="589"/>
      <c r="D29" s="590"/>
      <c r="E29" s="591"/>
      <c r="F29" s="591"/>
      <c r="G29" s="591"/>
      <c r="H29" s="591"/>
      <c r="I29" s="591"/>
      <c r="J29" s="591"/>
      <c r="K29" s="591"/>
      <c r="L29" s="591"/>
      <c r="M29" s="591"/>
      <c r="N29" s="591"/>
      <c r="O29" s="591"/>
      <c r="P29" s="591"/>
      <c r="Q29" s="591"/>
      <c r="R29" s="591"/>
      <c r="S29" s="591"/>
      <c r="T29" s="591"/>
      <c r="U29" s="591"/>
      <c r="V29" s="591"/>
      <c r="W29" s="591"/>
      <c r="X29" s="591"/>
      <c r="Y29" s="591"/>
      <c r="Z29" s="591"/>
      <c r="AA29" s="591"/>
      <c r="AB29" s="591"/>
      <c r="AC29" s="591"/>
      <c r="AD29" s="591"/>
      <c r="AE29" s="591"/>
      <c r="AF29" s="591"/>
      <c r="AG29" s="591"/>
      <c r="AH29" s="591"/>
      <c r="AI29" s="591"/>
      <c r="AJ29" s="591"/>
      <c r="AK29" s="591"/>
      <c r="AL29" s="591"/>
      <c r="AM29" s="591"/>
      <c r="AN29" s="591"/>
      <c r="AO29" s="591"/>
      <c r="AP29" s="591"/>
      <c r="AQ29" s="591"/>
      <c r="AR29" s="591"/>
      <c r="AS29" s="592"/>
      <c r="AT29" s="592"/>
      <c r="AU29" s="592"/>
      <c r="AV29" s="592"/>
      <c r="AW29" s="592"/>
      <c r="AX29" s="592"/>
      <c r="AY29" s="592"/>
      <c r="AZ29" s="592"/>
      <c r="BA29" s="592"/>
      <c r="BB29" s="592"/>
      <c r="BC29" s="592"/>
      <c r="BD29" s="592"/>
      <c r="BE29" s="592"/>
      <c r="BF29" s="592"/>
      <c r="BG29" s="592"/>
      <c r="BH29" s="592"/>
      <c r="BI29" s="592"/>
      <c r="BJ29" s="592"/>
      <c r="BK29" s="592"/>
      <c r="BL29" s="592"/>
      <c r="BM29" s="592"/>
      <c r="BN29" s="592"/>
      <c r="BO29" s="592"/>
      <c r="BP29" s="592"/>
      <c r="BQ29" s="592"/>
      <c r="BR29" s="592"/>
      <c r="BS29" s="592"/>
      <c r="BT29" s="592"/>
      <c r="BU29" s="592"/>
      <c r="BV29" s="592"/>
      <c r="BW29" s="592"/>
      <c r="BX29" s="592"/>
      <c r="BY29" s="592"/>
      <c r="BZ29" s="592"/>
      <c r="CA29" s="592"/>
      <c r="CB29" s="592"/>
      <c r="CC29" s="592"/>
      <c r="CD29" s="592"/>
      <c r="CE29" s="592"/>
      <c r="CF29" s="592"/>
      <c r="CG29" s="592"/>
      <c r="CH29" s="592"/>
      <c r="CI29" s="592"/>
      <c r="CJ29" s="592"/>
      <c r="CK29" s="592"/>
      <c r="CL29" s="592"/>
      <c r="CM29" s="592"/>
      <c r="CN29" s="592"/>
      <c r="CO29" s="592"/>
      <c r="CP29" s="592"/>
      <c r="CQ29" s="593">
        <f t="shared" si="11"/>
        <v>0</v>
      </c>
      <c r="CS29" s="594">
        <f t="shared" si="3"/>
        <v>18</v>
      </c>
      <c r="CT29" s="595">
        <f t="shared" si="3"/>
        <v>0</v>
      </c>
      <c r="CU29" s="596">
        <f t="shared" si="4"/>
        <v>0</v>
      </c>
      <c r="CV29" s="597"/>
      <c r="CW29" s="594" t="s">
        <v>850</v>
      </c>
      <c r="CX29" s="594" t="s">
        <v>626</v>
      </c>
      <c r="CY29" s="598" t="str">
        <f>IFERROR(AVERAGE(E29:AS29),"0")</f>
        <v>0</v>
      </c>
      <c r="CZ29" s="599" t="str">
        <f>IFERROR(SUM(E29:AS29)/CY29,"0")</f>
        <v>0</v>
      </c>
      <c r="DA29" s="598">
        <f t="shared" si="12"/>
        <v>0</v>
      </c>
      <c r="DB29" s="600">
        <f>DH29*$DH$10</f>
        <v>61.88</v>
      </c>
      <c r="DC29" s="601">
        <v>1</v>
      </c>
      <c r="DD29" s="602">
        <f t="shared" si="6"/>
        <v>0</v>
      </c>
      <c r="DG29" s="546">
        <v>61.88</v>
      </c>
      <c r="DH29" s="600">
        <v>61.88</v>
      </c>
    </row>
    <row r="30" spans="1:114" ht="39.9" customHeight="1" x14ac:dyDescent="0.3">
      <c r="A30" s="588">
        <f t="shared" si="7"/>
        <v>19</v>
      </c>
      <c r="B30" s="605"/>
      <c r="C30" s="589"/>
      <c r="D30" s="590"/>
      <c r="E30" s="591"/>
      <c r="F30" s="591"/>
      <c r="G30" s="591"/>
      <c r="H30" s="591"/>
      <c r="I30" s="591"/>
      <c r="J30" s="591"/>
      <c r="K30" s="591"/>
      <c r="L30" s="591"/>
      <c r="M30" s="591"/>
      <c r="N30" s="591"/>
      <c r="O30" s="591"/>
      <c r="P30" s="591"/>
      <c r="Q30" s="591"/>
      <c r="R30" s="591"/>
      <c r="S30" s="591"/>
      <c r="T30" s="591"/>
      <c r="U30" s="591"/>
      <c r="V30" s="591"/>
      <c r="W30" s="591"/>
      <c r="X30" s="591"/>
      <c r="Y30" s="591"/>
      <c r="Z30" s="591"/>
      <c r="AA30" s="591"/>
      <c r="AB30" s="591"/>
      <c r="AC30" s="591"/>
      <c r="AD30" s="591"/>
      <c r="AE30" s="591"/>
      <c r="AF30" s="591"/>
      <c r="AG30" s="591"/>
      <c r="AH30" s="591"/>
      <c r="AI30" s="591"/>
      <c r="AJ30" s="591"/>
      <c r="AK30" s="591"/>
      <c r="AL30" s="591"/>
      <c r="AM30" s="591"/>
      <c r="AN30" s="591"/>
      <c r="AO30" s="591"/>
      <c r="AP30" s="591"/>
      <c r="AQ30" s="591"/>
      <c r="AR30" s="591"/>
      <c r="AS30" s="592"/>
      <c r="AT30" s="592"/>
      <c r="AU30" s="592"/>
      <c r="AV30" s="592"/>
      <c r="AW30" s="592"/>
      <c r="AX30" s="592"/>
      <c r="AY30" s="592"/>
      <c r="AZ30" s="592"/>
      <c r="BA30" s="592"/>
      <c r="BB30" s="592"/>
      <c r="BC30" s="592"/>
      <c r="BD30" s="592"/>
      <c r="BE30" s="592"/>
      <c r="BF30" s="592"/>
      <c r="BG30" s="592"/>
      <c r="BH30" s="592"/>
      <c r="BI30" s="592"/>
      <c r="BJ30" s="592"/>
      <c r="BK30" s="592"/>
      <c r="BL30" s="592"/>
      <c r="BM30" s="592"/>
      <c r="BN30" s="592"/>
      <c r="BO30" s="592"/>
      <c r="BP30" s="592"/>
      <c r="BQ30" s="592"/>
      <c r="BR30" s="592"/>
      <c r="BS30" s="592"/>
      <c r="BT30" s="592"/>
      <c r="BU30" s="592"/>
      <c r="BV30" s="592"/>
      <c r="BW30" s="592"/>
      <c r="BX30" s="592"/>
      <c r="BY30" s="592"/>
      <c r="BZ30" s="592"/>
      <c r="CA30" s="592"/>
      <c r="CB30" s="592"/>
      <c r="CC30" s="592"/>
      <c r="CD30" s="592"/>
      <c r="CE30" s="592"/>
      <c r="CF30" s="592"/>
      <c r="CG30" s="592"/>
      <c r="CH30" s="592"/>
      <c r="CI30" s="592"/>
      <c r="CJ30" s="592"/>
      <c r="CK30" s="592"/>
      <c r="CL30" s="592"/>
      <c r="CM30" s="592"/>
      <c r="CN30" s="592"/>
      <c r="CO30" s="592"/>
      <c r="CP30" s="592"/>
      <c r="CQ30" s="593">
        <f t="shared" si="11"/>
        <v>0</v>
      </c>
      <c r="CS30" s="594">
        <f t="shared" si="3"/>
        <v>19</v>
      </c>
      <c r="CT30" s="595">
        <f t="shared" si="3"/>
        <v>0</v>
      </c>
      <c r="CU30" s="596">
        <f t="shared" si="4"/>
        <v>0</v>
      </c>
      <c r="CV30" s="597"/>
      <c r="CW30" s="594" t="s">
        <v>850</v>
      </c>
      <c r="CX30" s="594" t="s">
        <v>626</v>
      </c>
      <c r="CY30" s="598" t="str">
        <f>IFERROR(AVERAGE(E30:AS30),"0")</f>
        <v>0</v>
      </c>
      <c r="CZ30" s="599" t="str">
        <f>IFERROR(SUM(E30:AS30)/CY30,"0")</f>
        <v>0</v>
      </c>
      <c r="DA30" s="598">
        <f t="shared" si="12"/>
        <v>0</v>
      </c>
      <c r="DB30" s="600">
        <f>DH30*$DH$10</f>
        <v>61.88</v>
      </c>
      <c r="DC30" s="601">
        <v>1</v>
      </c>
      <c r="DD30" s="602">
        <f t="shared" si="6"/>
        <v>0</v>
      </c>
      <c r="DG30" s="546">
        <v>61.88</v>
      </c>
      <c r="DH30" s="600">
        <v>61.88</v>
      </c>
    </row>
    <row r="31" spans="1:114" ht="39.9" customHeight="1" x14ac:dyDescent="0.3">
      <c r="A31" s="588">
        <f t="shared" si="7"/>
        <v>20</v>
      </c>
      <c r="B31" s="605"/>
      <c r="C31" s="589"/>
      <c r="D31" s="590"/>
      <c r="E31" s="591"/>
      <c r="F31" s="591"/>
      <c r="G31" s="591"/>
      <c r="H31" s="591"/>
      <c r="I31" s="591"/>
      <c r="J31" s="591"/>
      <c r="K31" s="591"/>
      <c r="L31" s="591"/>
      <c r="M31" s="591"/>
      <c r="N31" s="591"/>
      <c r="O31" s="591"/>
      <c r="P31" s="591"/>
      <c r="Q31" s="591"/>
      <c r="R31" s="591"/>
      <c r="S31" s="591"/>
      <c r="T31" s="591"/>
      <c r="U31" s="591"/>
      <c r="V31" s="591"/>
      <c r="W31" s="591"/>
      <c r="X31" s="591"/>
      <c r="Y31" s="591"/>
      <c r="Z31" s="591"/>
      <c r="AA31" s="591"/>
      <c r="AB31" s="591"/>
      <c r="AC31" s="591"/>
      <c r="AD31" s="591"/>
      <c r="AE31" s="591"/>
      <c r="AF31" s="591"/>
      <c r="AG31" s="591"/>
      <c r="AH31" s="591"/>
      <c r="AI31" s="591"/>
      <c r="AJ31" s="591"/>
      <c r="AK31" s="591"/>
      <c r="AL31" s="591"/>
      <c r="AM31" s="591"/>
      <c r="AN31" s="591"/>
      <c r="AO31" s="591"/>
      <c r="AP31" s="591"/>
      <c r="AQ31" s="591"/>
      <c r="AR31" s="591"/>
      <c r="AS31" s="592"/>
      <c r="AT31" s="592"/>
      <c r="AU31" s="592"/>
      <c r="AV31" s="592"/>
      <c r="AW31" s="592"/>
      <c r="AX31" s="592"/>
      <c r="AY31" s="592"/>
      <c r="AZ31" s="592"/>
      <c r="BA31" s="592"/>
      <c r="BB31" s="592"/>
      <c r="BC31" s="592"/>
      <c r="BD31" s="592"/>
      <c r="BE31" s="592"/>
      <c r="BF31" s="592"/>
      <c r="BG31" s="592"/>
      <c r="BH31" s="592"/>
      <c r="BI31" s="592"/>
      <c r="BJ31" s="592"/>
      <c r="BK31" s="592"/>
      <c r="BL31" s="592"/>
      <c r="BM31" s="592"/>
      <c r="BN31" s="592"/>
      <c r="BO31" s="592"/>
      <c r="BP31" s="592"/>
      <c r="BQ31" s="592"/>
      <c r="BR31" s="592"/>
      <c r="BS31" s="592"/>
      <c r="BT31" s="592"/>
      <c r="BU31" s="592"/>
      <c r="BV31" s="592"/>
      <c r="BW31" s="592"/>
      <c r="BX31" s="592"/>
      <c r="BY31" s="592"/>
      <c r="BZ31" s="592"/>
      <c r="CA31" s="592"/>
      <c r="CB31" s="592"/>
      <c r="CC31" s="592"/>
      <c r="CD31" s="592"/>
      <c r="CE31" s="592"/>
      <c r="CF31" s="592"/>
      <c r="CG31" s="592"/>
      <c r="CH31" s="592"/>
      <c r="CI31" s="592"/>
      <c r="CJ31" s="592"/>
      <c r="CK31" s="592"/>
      <c r="CL31" s="592"/>
      <c r="CM31" s="592"/>
      <c r="CN31" s="592"/>
      <c r="CO31" s="592"/>
      <c r="CP31" s="592"/>
      <c r="CQ31" s="593">
        <f t="shared" si="11"/>
        <v>0</v>
      </c>
      <c r="CS31" s="594">
        <f t="shared" si="3"/>
        <v>20</v>
      </c>
      <c r="CT31" s="595">
        <f t="shared" si="3"/>
        <v>0</v>
      </c>
      <c r="CU31" s="596">
        <f t="shared" si="4"/>
        <v>0</v>
      </c>
      <c r="CV31" s="597"/>
      <c r="CW31" s="594" t="s">
        <v>850</v>
      </c>
      <c r="CX31" s="594" t="s">
        <v>626</v>
      </c>
      <c r="CY31" s="598" t="str">
        <f>IFERROR(AVERAGE(E31:AS31),"0")</f>
        <v>0</v>
      </c>
      <c r="CZ31" s="599" t="str">
        <f>IFERROR(SUM(E31:AS31)/CY31,"0")</f>
        <v>0</v>
      </c>
      <c r="DA31" s="598">
        <f t="shared" si="12"/>
        <v>0</v>
      </c>
      <c r="DB31" s="600">
        <f>DH31*$DH$10</f>
        <v>61.88</v>
      </c>
      <c r="DC31" s="601">
        <v>1</v>
      </c>
      <c r="DD31" s="602">
        <f t="shared" si="6"/>
        <v>0</v>
      </c>
      <c r="DG31" s="546">
        <v>61.88</v>
      </c>
      <c r="DH31" s="600">
        <v>61.88</v>
      </c>
    </row>
    <row r="32" spans="1:114" ht="40.35" customHeight="1" x14ac:dyDescent="0.4">
      <c r="A32" s="607"/>
      <c r="B32" s="608"/>
      <c r="C32" s="608"/>
      <c r="D32" s="609" t="s">
        <v>628</v>
      </c>
      <c r="E32" s="610">
        <f t="shared" ref="E32:AJ32" si="13">SUM(E12:E31)</f>
        <v>0</v>
      </c>
      <c r="F32" s="610">
        <f t="shared" si="13"/>
        <v>0</v>
      </c>
      <c r="G32" s="610">
        <f t="shared" si="13"/>
        <v>0</v>
      </c>
      <c r="H32" s="610">
        <f t="shared" si="13"/>
        <v>0</v>
      </c>
      <c r="I32" s="610">
        <f t="shared" si="13"/>
        <v>0</v>
      </c>
      <c r="J32" s="610">
        <f t="shared" si="13"/>
        <v>0</v>
      </c>
      <c r="K32" s="610">
        <f t="shared" si="13"/>
        <v>0</v>
      </c>
      <c r="L32" s="610">
        <f t="shared" si="13"/>
        <v>0</v>
      </c>
      <c r="M32" s="610">
        <f t="shared" si="13"/>
        <v>0</v>
      </c>
      <c r="N32" s="610">
        <f t="shared" si="13"/>
        <v>0</v>
      </c>
      <c r="O32" s="610">
        <f t="shared" si="13"/>
        <v>0</v>
      </c>
      <c r="P32" s="610">
        <f t="shared" si="13"/>
        <v>0</v>
      </c>
      <c r="Q32" s="610">
        <f t="shared" si="13"/>
        <v>0</v>
      </c>
      <c r="R32" s="610">
        <f t="shared" si="13"/>
        <v>0</v>
      </c>
      <c r="S32" s="610">
        <f t="shared" si="13"/>
        <v>0</v>
      </c>
      <c r="T32" s="610">
        <f t="shared" si="13"/>
        <v>0</v>
      </c>
      <c r="U32" s="610">
        <f t="shared" si="13"/>
        <v>0</v>
      </c>
      <c r="V32" s="610">
        <f t="shared" si="13"/>
        <v>0</v>
      </c>
      <c r="W32" s="610">
        <f t="shared" si="13"/>
        <v>0</v>
      </c>
      <c r="X32" s="610">
        <f t="shared" si="13"/>
        <v>0</v>
      </c>
      <c r="Y32" s="610">
        <f t="shared" si="13"/>
        <v>0</v>
      </c>
      <c r="Z32" s="610">
        <f t="shared" si="13"/>
        <v>0</v>
      </c>
      <c r="AA32" s="610">
        <f t="shared" si="13"/>
        <v>0</v>
      </c>
      <c r="AB32" s="610">
        <f t="shared" si="13"/>
        <v>0</v>
      </c>
      <c r="AC32" s="610">
        <f t="shared" si="13"/>
        <v>0</v>
      </c>
      <c r="AD32" s="610">
        <f t="shared" si="13"/>
        <v>0</v>
      </c>
      <c r="AE32" s="610">
        <f t="shared" si="13"/>
        <v>0</v>
      </c>
      <c r="AF32" s="610">
        <f t="shared" si="13"/>
        <v>0</v>
      </c>
      <c r="AG32" s="610">
        <f t="shared" si="13"/>
        <v>0</v>
      </c>
      <c r="AH32" s="610">
        <f t="shared" si="13"/>
        <v>0</v>
      </c>
      <c r="AI32" s="610">
        <f t="shared" si="13"/>
        <v>0</v>
      </c>
      <c r="AJ32" s="610">
        <f t="shared" si="13"/>
        <v>0</v>
      </c>
      <c r="AK32" s="610">
        <f t="shared" ref="AK32:BP32" si="14">SUM(AK12:AK31)</f>
        <v>0</v>
      </c>
      <c r="AL32" s="610">
        <f t="shared" si="14"/>
        <v>0</v>
      </c>
      <c r="AM32" s="610">
        <f t="shared" si="14"/>
        <v>0</v>
      </c>
      <c r="AN32" s="610">
        <f t="shared" si="14"/>
        <v>0</v>
      </c>
      <c r="AO32" s="610">
        <f t="shared" si="14"/>
        <v>0</v>
      </c>
      <c r="AP32" s="610">
        <f t="shared" si="14"/>
        <v>0</v>
      </c>
      <c r="AQ32" s="610">
        <f t="shared" si="14"/>
        <v>0</v>
      </c>
      <c r="AR32" s="610">
        <f t="shared" si="14"/>
        <v>0</v>
      </c>
      <c r="AS32" s="610">
        <f t="shared" si="14"/>
        <v>0</v>
      </c>
      <c r="AT32" s="610">
        <f t="shared" si="14"/>
        <v>0</v>
      </c>
      <c r="AU32" s="610">
        <f t="shared" si="14"/>
        <v>0</v>
      </c>
      <c r="AV32" s="610">
        <f t="shared" si="14"/>
        <v>0</v>
      </c>
      <c r="AW32" s="610">
        <f t="shared" si="14"/>
        <v>0</v>
      </c>
      <c r="AX32" s="610">
        <f t="shared" si="14"/>
        <v>0</v>
      </c>
      <c r="AY32" s="610">
        <f t="shared" si="14"/>
        <v>0</v>
      </c>
      <c r="AZ32" s="610">
        <f t="shared" si="14"/>
        <v>0</v>
      </c>
      <c r="BA32" s="610">
        <f t="shared" si="14"/>
        <v>0</v>
      </c>
      <c r="BB32" s="610">
        <f t="shared" si="14"/>
        <v>0</v>
      </c>
      <c r="BC32" s="610">
        <f t="shared" si="14"/>
        <v>0</v>
      </c>
      <c r="BD32" s="610">
        <f t="shared" si="14"/>
        <v>0</v>
      </c>
      <c r="BE32" s="610">
        <f t="shared" si="14"/>
        <v>0</v>
      </c>
      <c r="BF32" s="610">
        <f t="shared" si="14"/>
        <v>0</v>
      </c>
      <c r="BG32" s="610">
        <f t="shared" si="14"/>
        <v>0</v>
      </c>
      <c r="BH32" s="610">
        <f t="shared" si="14"/>
        <v>0</v>
      </c>
      <c r="BI32" s="610">
        <f t="shared" si="14"/>
        <v>0</v>
      </c>
      <c r="BJ32" s="610">
        <f t="shared" si="14"/>
        <v>0</v>
      </c>
      <c r="BK32" s="610">
        <f t="shared" si="14"/>
        <v>0</v>
      </c>
      <c r="BL32" s="610">
        <f t="shared" si="14"/>
        <v>0</v>
      </c>
      <c r="BM32" s="610">
        <f t="shared" si="14"/>
        <v>0</v>
      </c>
      <c r="BN32" s="610">
        <f t="shared" si="14"/>
        <v>0</v>
      </c>
      <c r="BO32" s="610">
        <f t="shared" si="14"/>
        <v>0</v>
      </c>
      <c r="BP32" s="610">
        <f t="shared" si="14"/>
        <v>0</v>
      </c>
      <c r="BQ32" s="610">
        <f t="shared" ref="BQ32:CP32" si="15">SUM(BQ12:BQ31)</f>
        <v>0</v>
      </c>
      <c r="BR32" s="610">
        <f t="shared" si="15"/>
        <v>0</v>
      </c>
      <c r="BS32" s="610">
        <f t="shared" si="15"/>
        <v>0</v>
      </c>
      <c r="BT32" s="610">
        <f t="shared" si="15"/>
        <v>0</v>
      </c>
      <c r="BU32" s="610">
        <f t="shared" si="15"/>
        <v>0</v>
      </c>
      <c r="BV32" s="610">
        <f t="shared" si="15"/>
        <v>0</v>
      </c>
      <c r="BW32" s="610">
        <f t="shared" si="15"/>
        <v>0</v>
      </c>
      <c r="BX32" s="610">
        <f t="shared" si="15"/>
        <v>0</v>
      </c>
      <c r="BY32" s="610">
        <f t="shared" si="15"/>
        <v>0</v>
      </c>
      <c r="BZ32" s="610">
        <f t="shared" si="15"/>
        <v>0</v>
      </c>
      <c r="CA32" s="610">
        <f t="shared" si="15"/>
        <v>0</v>
      </c>
      <c r="CB32" s="610">
        <f t="shared" si="15"/>
        <v>0</v>
      </c>
      <c r="CC32" s="610">
        <f t="shared" si="15"/>
        <v>0</v>
      </c>
      <c r="CD32" s="610">
        <f t="shared" si="15"/>
        <v>0</v>
      </c>
      <c r="CE32" s="610">
        <f t="shared" si="15"/>
        <v>0</v>
      </c>
      <c r="CF32" s="610">
        <f t="shared" si="15"/>
        <v>0</v>
      </c>
      <c r="CG32" s="610">
        <f t="shared" si="15"/>
        <v>0</v>
      </c>
      <c r="CH32" s="610">
        <f t="shared" si="15"/>
        <v>0</v>
      </c>
      <c r="CI32" s="610">
        <f t="shared" si="15"/>
        <v>0</v>
      </c>
      <c r="CJ32" s="610">
        <f t="shared" si="15"/>
        <v>0</v>
      </c>
      <c r="CK32" s="610">
        <f t="shared" si="15"/>
        <v>0</v>
      </c>
      <c r="CL32" s="610">
        <f t="shared" si="15"/>
        <v>0</v>
      </c>
      <c r="CM32" s="610">
        <f t="shared" si="15"/>
        <v>0</v>
      </c>
      <c r="CN32" s="610">
        <f t="shared" si="15"/>
        <v>0</v>
      </c>
      <c r="CO32" s="610">
        <f t="shared" si="15"/>
        <v>0</v>
      </c>
      <c r="CP32" s="610">
        <f t="shared" si="15"/>
        <v>0</v>
      </c>
      <c r="CQ32" s="611"/>
      <c r="CY32" s="612"/>
      <c r="CZ32" s="613"/>
      <c r="DA32" s="612"/>
      <c r="DB32" s="614"/>
      <c r="DC32" s="615"/>
      <c r="DD32" s="616">
        <f>SUBTOTAL(9,DD12:DD31)</f>
        <v>0</v>
      </c>
    </row>
    <row r="33" spans="1:108" ht="20.100000000000001" customHeight="1" x14ac:dyDescent="0.3">
      <c r="A33" s="607"/>
      <c r="B33" s="608"/>
      <c r="C33" s="617"/>
      <c r="D33" s="618"/>
      <c r="E33" s="619"/>
      <c r="F33" s="619"/>
      <c r="G33" s="619"/>
      <c r="H33" s="619"/>
      <c r="I33" s="619"/>
      <c r="J33" s="619"/>
      <c r="K33" s="619"/>
      <c r="L33" s="619"/>
      <c r="M33" s="619"/>
      <c r="N33" s="619"/>
      <c r="O33" s="619"/>
      <c r="P33" s="619"/>
      <c r="Q33" s="619"/>
      <c r="R33" s="619"/>
      <c r="S33" s="619"/>
      <c r="T33" s="619"/>
      <c r="U33" s="619"/>
      <c r="V33" s="619"/>
      <c r="W33" s="619"/>
      <c r="X33" s="619"/>
      <c r="Y33" s="619"/>
      <c r="Z33" s="619"/>
      <c r="AA33" s="619"/>
      <c r="AB33" s="619"/>
      <c r="AC33" s="619"/>
      <c r="AD33" s="619"/>
      <c r="AE33" s="619"/>
      <c r="AF33" s="619"/>
      <c r="AG33" s="619"/>
      <c r="AH33" s="619"/>
      <c r="AI33" s="619"/>
      <c r="AJ33" s="619"/>
      <c r="AK33" s="619"/>
      <c r="AL33" s="619"/>
      <c r="AM33" s="619"/>
      <c r="AN33" s="619"/>
      <c r="AO33" s="619"/>
      <c r="AP33" s="619"/>
      <c r="AQ33" s="619"/>
      <c r="AR33" s="619"/>
      <c r="AS33" s="619"/>
      <c r="AT33" s="619"/>
      <c r="AU33" s="619"/>
      <c r="AV33" s="619"/>
      <c r="AW33" s="619"/>
      <c r="AX33" s="619"/>
      <c r="AY33" s="619"/>
      <c r="AZ33" s="619"/>
      <c r="BA33" s="619"/>
      <c r="BB33" s="619"/>
      <c r="BC33" s="619"/>
      <c r="BD33" s="619"/>
      <c r="BE33" s="619"/>
      <c r="BF33" s="619"/>
      <c r="BG33" s="619"/>
      <c r="BH33" s="619"/>
      <c r="BI33" s="619"/>
      <c r="BJ33" s="619"/>
      <c r="BK33" s="619"/>
      <c r="BL33" s="619"/>
      <c r="BM33" s="619"/>
      <c r="BN33" s="619"/>
      <c r="BO33" s="619"/>
      <c r="BP33" s="619"/>
      <c r="BQ33" s="619"/>
      <c r="BR33" s="619"/>
      <c r="BS33" s="619"/>
      <c r="BT33" s="619"/>
      <c r="BU33" s="619"/>
      <c r="BV33" s="619"/>
      <c r="BW33" s="619"/>
      <c r="BX33" s="619"/>
      <c r="BY33" s="619"/>
      <c r="BZ33" s="619"/>
      <c r="CA33" s="619"/>
      <c r="CB33" s="619"/>
      <c r="CC33" s="619"/>
      <c r="CD33" s="619"/>
      <c r="CE33" s="619"/>
      <c r="CF33" s="619"/>
      <c r="CG33" s="619"/>
      <c r="CH33" s="619"/>
      <c r="CI33" s="619"/>
      <c r="CJ33" s="619"/>
      <c r="CK33" s="619"/>
      <c r="CL33" s="619"/>
      <c r="CM33" s="619"/>
      <c r="CN33" s="619"/>
      <c r="CO33" s="619"/>
      <c r="CP33" s="619"/>
    </row>
    <row r="34" spans="1:108" ht="40.35" customHeight="1" x14ac:dyDescent="0.3">
      <c r="A34" s="607"/>
      <c r="B34" s="608"/>
      <c r="C34" s="617"/>
      <c r="D34" s="620"/>
      <c r="E34" s="621"/>
      <c r="F34" s="621"/>
      <c r="G34" s="621"/>
      <c r="H34" s="621"/>
      <c r="I34" s="621"/>
      <c r="J34" s="621"/>
      <c r="K34" s="621"/>
      <c r="L34" s="621"/>
      <c r="M34" s="621"/>
      <c r="N34" s="621"/>
      <c r="O34" s="621"/>
      <c r="P34" s="621"/>
      <c r="Q34" s="621"/>
      <c r="R34" s="621"/>
      <c r="S34" s="621"/>
      <c r="T34" s="621"/>
      <c r="U34" s="621"/>
      <c r="V34" s="621"/>
      <c r="W34" s="621"/>
      <c r="X34" s="621"/>
      <c r="Y34" s="621"/>
      <c r="Z34" s="621"/>
      <c r="AA34" s="621"/>
      <c r="AB34" s="621"/>
      <c r="AC34" s="621"/>
      <c r="AD34" s="621"/>
      <c r="AE34" s="621"/>
      <c r="AF34" s="621"/>
      <c r="AG34" s="621"/>
      <c r="AH34" s="621"/>
      <c r="AI34" s="621"/>
      <c r="AJ34" s="621"/>
      <c r="AK34" s="621"/>
      <c r="AL34" s="621"/>
      <c r="AM34" s="621"/>
      <c r="AN34" s="621"/>
      <c r="AO34" s="621"/>
      <c r="AP34" s="621"/>
      <c r="AQ34" s="621"/>
      <c r="AR34" s="621"/>
      <c r="AS34" s="621"/>
      <c r="AT34" s="621"/>
      <c r="AU34" s="621"/>
      <c r="AV34" s="621"/>
      <c r="AW34" s="621"/>
      <c r="AX34" s="621"/>
      <c r="AY34" s="621"/>
      <c r="AZ34" s="621"/>
      <c r="BA34" s="621"/>
      <c r="BB34" s="621"/>
      <c r="BC34" s="621"/>
      <c r="BD34" s="621"/>
      <c r="BE34" s="621"/>
      <c r="BF34" s="621"/>
      <c r="BG34" s="621"/>
      <c r="BH34" s="621"/>
      <c r="BI34" s="621"/>
      <c r="BJ34" s="621"/>
      <c r="BK34" s="621"/>
      <c r="BL34" s="621"/>
      <c r="BM34" s="621"/>
      <c r="BN34" s="621"/>
      <c r="BO34" s="621"/>
      <c r="BP34" s="621"/>
      <c r="BQ34" s="621"/>
      <c r="BR34" s="621"/>
      <c r="BS34" s="621"/>
      <c r="BT34" s="621"/>
      <c r="BU34" s="621"/>
      <c r="BV34" s="621"/>
      <c r="BW34" s="621"/>
      <c r="BX34" s="621"/>
      <c r="BY34" s="621"/>
      <c r="BZ34" s="621"/>
      <c r="CA34" s="621"/>
      <c r="CB34" s="621"/>
      <c r="CC34" s="621"/>
      <c r="CD34" s="621"/>
      <c r="CE34" s="621"/>
      <c r="CF34" s="621"/>
      <c r="CG34" s="621"/>
      <c r="CH34" s="621"/>
      <c r="CI34" s="621"/>
      <c r="CJ34" s="621"/>
      <c r="CK34" s="621"/>
      <c r="CL34" s="621"/>
      <c r="CM34" s="621"/>
      <c r="CN34" s="621"/>
      <c r="CO34" s="621"/>
      <c r="CP34" s="621"/>
      <c r="DB34" s="666" t="s">
        <v>926</v>
      </c>
      <c r="DD34" s="667">
        <f>IFERROR(SUMIF($CU$12:$CU$31,DB34,$DD$12:$DD$31),0)</f>
        <v>0</v>
      </c>
    </row>
    <row r="35" spans="1:108" ht="31.5" customHeight="1" x14ac:dyDescent="0.3">
      <c r="C35" s="622"/>
      <c r="D35" s="623" t="s">
        <v>872</v>
      </c>
      <c r="V35" s="624"/>
      <c r="W35" s="624"/>
      <c r="X35" s="624"/>
      <c r="Y35" s="624"/>
      <c r="Z35" s="624"/>
      <c r="AA35" s="624"/>
      <c r="AB35" s="624"/>
      <c r="AC35" s="624"/>
      <c r="AD35" s="624"/>
      <c r="AE35" s="624"/>
      <c r="AF35" s="624"/>
      <c r="AG35" s="624"/>
      <c r="AH35" s="624"/>
      <c r="AI35" s="624"/>
      <c r="AJ35" s="624"/>
      <c r="AK35" s="624"/>
      <c r="AL35" s="624"/>
      <c r="AM35" s="624"/>
      <c r="AN35" s="624"/>
      <c r="AO35" s="624"/>
      <c r="AP35" s="624"/>
      <c r="AQ35" s="624"/>
      <c r="AR35" s="624"/>
      <c r="AS35" s="624"/>
      <c r="AT35" s="624"/>
      <c r="AU35" s="624"/>
      <c r="AV35" s="624"/>
      <c r="AW35" s="624"/>
      <c r="AX35" s="624"/>
      <c r="AY35" s="624"/>
      <c r="AZ35" s="624"/>
      <c r="BA35" s="624"/>
      <c r="BB35" s="624"/>
      <c r="BC35" s="624"/>
      <c r="BD35" s="624"/>
      <c r="BE35" s="624"/>
      <c r="BF35" s="624"/>
      <c r="BG35" s="624"/>
      <c r="BH35" s="624"/>
      <c r="BI35" s="624"/>
      <c r="BJ35" s="624"/>
      <c r="BK35" s="624"/>
      <c r="BL35" s="624"/>
      <c r="BM35" s="624"/>
      <c r="BN35" s="624"/>
      <c r="BO35" s="624"/>
      <c r="BP35" s="624"/>
      <c r="BQ35" s="624"/>
      <c r="BR35" s="624"/>
      <c r="BS35" s="624"/>
      <c r="BT35" s="624"/>
      <c r="BU35" s="624"/>
      <c r="BV35" s="624"/>
      <c r="BW35" s="624"/>
      <c r="BX35" s="624"/>
      <c r="BY35" s="624"/>
      <c r="BZ35" s="624"/>
      <c r="CA35" s="624"/>
      <c r="CB35" s="624"/>
      <c r="CC35" s="624"/>
      <c r="CD35" s="624"/>
      <c r="CE35" s="624"/>
      <c r="CF35" s="624"/>
      <c r="CG35" s="624"/>
      <c r="CH35" s="624"/>
      <c r="CI35" s="624"/>
      <c r="CJ35" s="624"/>
      <c r="CK35" s="624"/>
      <c r="CL35" s="624"/>
      <c r="CM35" s="624"/>
      <c r="CN35" s="624"/>
      <c r="CO35" s="624"/>
      <c r="CP35" s="624"/>
      <c r="DB35" s="666" t="s">
        <v>744</v>
      </c>
      <c r="DD35" s="667">
        <f>IFERROR(SUMIF($CU$12:$CU$31,DB35,$DD$12:$DD$31),0)</f>
        <v>0</v>
      </c>
    </row>
    <row r="36" spans="1:108" ht="31.5" customHeight="1" x14ac:dyDescent="0.3">
      <c r="D36" s="625"/>
      <c r="E36" s="254">
        <f>E9</f>
        <v>45670</v>
      </c>
      <c r="F36" s="254">
        <f>F37</f>
        <v>45671</v>
      </c>
      <c r="G36" s="254">
        <f>G37</f>
        <v>45672</v>
      </c>
      <c r="H36" s="254">
        <f t="shared" ref="H36:CP36" si="16">H37</f>
        <v>45673</v>
      </c>
      <c r="I36" s="254">
        <f t="shared" si="16"/>
        <v>45674</v>
      </c>
      <c r="J36" s="254">
        <f t="shared" si="16"/>
        <v>45675</v>
      </c>
      <c r="K36" s="254">
        <f t="shared" si="16"/>
        <v>45676</v>
      </c>
      <c r="L36" s="254">
        <f t="shared" si="16"/>
        <v>45677</v>
      </c>
      <c r="M36" s="254">
        <f t="shared" si="16"/>
        <v>45678</v>
      </c>
      <c r="N36" s="254">
        <f t="shared" si="16"/>
        <v>45679</v>
      </c>
      <c r="O36" s="254">
        <f t="shared" si="16"/>
        <v>45680</v>
      </c>
      <c r="P36" s="254">
        <f t="shared" si="16"/>
        <v>45681</v>
      </c>
      <c r="Q36" s="254">
        <f t="shared" si="16"/>
        <v>45682</v>
      </c>
      <c r="R36" s="254">
        <f t="shared" si="16"/>
        <v>45683</v>
      </c>
      <c r="S36" s="254">
        <f t="shared" si="16"/>
        <v>45684</v>
      </c>
      <c r="T36" s="254">
        <f t="shared" si="16"/>
        <v>45685</v>
      </c>
      <c r="U36" s="254">
        <f t="shared" si="16"/>
        <v>45686</v>
      </c>
      <c r="V36" s="254">
        <f t="shared" si="16"/>
        <v>45687</v>
      </c>
      <c r="W36" s="254">
        <f t="shared" si="16"/>
        <v>45688</v>
      </c>
      <c r="X36" s="254">
        <f t="shared" si="16"/>
        <v>45689</v>
      </c>
      <c r="Y36" s="254">
        <f t="shared" si="16"/>
        <v>45690</v>
      </c>
      <c r="Z36" s="254">
        <f t="shared" si="16"/>
        <v>45691</v>
      </c>
      <c r="AA36" s="254">
        <f t="shared" si="16"/>
        <v>45692</v>
      </c>
      <c r="AB36" s="254">
        <f t="shared" si="16"/>
        <v>45693</v>
      </c>
      <c r="AC36" s="254">
        <f t="shared" si="16"/>
        <v>45694</v>
      </c>
      <c r="AD36" s="254">
        <f t="shared" si="16"/>
        <v>45695</v>
      </c>
      <c r="AE36" s="254">
        <f t="shared" si="16"/>
        <v>45696</v>
      </c>
      <c r="AF36" s="254">
        <f t="shared" si="16"/>
        <v>45697</v>
      </c>
      <c r="AG36" s="254">
        <f t="shared" si="16"/>
        <v>45698</v>
      </c>
      <c r="AH36" s="254">
        <f t="shared" si="16"/>
        <v>45699</v>
      </c>
      <c r="AI36" s="254">
        <f t="shared" si="16"/>
        <v>45700</v>
      </c>
      <c r="AJ36" s="254">
        <f t="shared" si="16"/>
        <v>45701</v>
      </c>
      <c r="AK36" s="254">
        <f t="shared" si="16"/>
        <v>45702</v>
      </c>
      <c r="AL36" s="254">
        <f t="shared" si="16"/>
        <v>45703</v>
      </c>
      <c r="AM36" s="254">
        <f t="shared" si="16"/>
        <v>45704</v>
      </c>
      <c r="AN36" s="254">
        <f t="shared" si="16"/>
        <v>45705</v>
      </c>
      <c r="AO36" s="254">
        <f t="shared" si="16"/>
        <v>45706</v>
      </c>
      <c r="AP36" s="254">
        <f t="shared" si="16"/>
        <v>45707</v>
      </c>
      <c r="AQ36" s="254">
        <f t="shared" si="16"/>
        <v>45708</v>
      </c>
      <c r="AR36" s="254">
        <f t="shared" si="16"/>
        <v>45709</v>
      </c>
      <c r="AS36" s="254">
        <f t="shared" si="16"/>
        <v>45710</v>
      </c>
      <c r="AT36" s="254">
        <f t="shared" si="16"/>
        <v>45711</v>
      </c>
      <c r="AU36" s="254">
        <f t="shared" si="16"/>
        <v>45712</v>
      </c>
      <c r="AV36" s="254">
        <f t="shared" si="16"/>
        <v>45713</v>
      </c>
      <c r="AW36" s="254">
        <f t="shared" si="16"/>
        <v>45714</v>
      </c>
      <c r="AX36" s="254">
        <f t="shared" si="16"/>
        <v>45715</v>
      </c>
      <c r="AY36" s="254">
        <f t="shared" si="16"/>
        <v>45716</v>
      </c>
      <c r="AZ36" s="254">
        <f t="shared" si="16"/>
        <v>45717</v>
      </c>
      <c r="BA36" s="254">
        <f t="shared" si="16"/>
        <v>45718</v>
      </c>
      <c r="BB36" s="254">
        <f t="shared" si="16"/>
        <v>45719</v>
      </c>
      <c r="BC36" s="254">
        <f t="shared" si="16"/>
        <v>45720</v>
      </c>
      <c r="BD36" s="254">
        <f t="shared" si="16"/>
        <v>45721</v>
      </c>
      <c r="BE36" s="254">
        <f t="shared" si="16"/>
        <v>45722</v>
      </c>
      <c r="BF36" s="254">
        <f t="shared" si="16"/>
        <v>45723</v>
      </c>
      <c r="BG36" s="254">
        <f t="shared" si="16"/>
        <v>45724</v>
      </c>
      <c r="BH36" s="254">
        <f t="shared" si="16"/>
        <v>45725</v>
      </c>
      <c r="BI36" s="254">
        <f t="shared" si="16"/>
        <v>45726</v>
      </c>
      <c r="BJ36" s="254">
        <f t="shared" si="16"/>
        <v>45727</v>
      </c>
      <c r="BK36" s="254">
        <f t="shared" si="16"/>
        <v>45728</v>
      </c>
      <c r="BL36" s="254"/>
      <c r="BM36" s="254"/>
      <c r="BN36" s="254"/>
      <c r="BO36" s="254"/>
      <c r="BP36" s="254"/>
      <c r="BQ36" s="254"/>
      <c r="BR36" s="254"/>
      <c r="BS36" s="254"/>
      <c r="BT36" s="254"/>
      <c r="BU36" s="254"/>
      <c r="BV36" s="254"/>
      <c r="BW36" s="254"/>
      <c r="BX36" s="254"/>
      <c r="BY36" s="254"/>
      <c r="BZ36" s="254"/>
      <c r="CA36" s="254"/>
      <c r="CB36" s="254"/>
      <c r="CC36" s="254"/>
      <c r="CD36" s="254"/>
      <c r="CE36" s="254"/>
      <c r="CF36" s="254"/>
      <c r="CG36" s="254"/>
      <c r="CH36" s="254"/>
      <c r="CI36" s="254"/>
      <c r="CJ36" s="254"/>
      <c r="CK36" s="254"/>
      <c r="CL36" s="254">
        <f t="shared" si="16"/>
        <v>45755</v>
      </c>
      <c r="CM36" s="254"/>
      <c r="CN36" s="254"/>
      <c r="CO36" s="254"/>
      <c r="CP36" s="254">
        <f t="shared" si="16"/>
        <v>45759</v>
      </c>
      <c r="DA36" s="626"/>
      <c r="DB36" s="666" t="s">
        <v>927</v>
      </c>
      <c r="DD36" s="667">
        <f>DD34+'TUB. PU'!AF114</f>
        <v>141707.37454699998</v>
      </c>
    </row>
    <row r="37" spans="1:108" ht="25.35" customHeight="1" x14ac:dyDescent="0.3">
      <c r="D37" s="627"/>
      <c r="E37" s="628">
        <f>E10</f>
        <v>45670</v>
      </c>
      <c r="F37" s="628">
        <f t="shared" ref="F37:AK37" si="17">F10</f>
        <v>45671</v>
      </c>
      <c r="G37" s="628">
        <f t="shared" si="17"/>
        <v>45672</v>
      </c>
      <c r="H37" s="628">
        <f t="shared" si="17"/>
        <v>45673</v>
      </c>
      <c r="I37" s="628">
        <f t="shared" si="17"/>
        <v>45674</v>
      </c>
      <c r="J37" s="628">
        <f t="shared" si="17"/>
        <v>45675</v>
      </c>
      <c r="K37" s="628">
        <f t="shared" si="17"/>
        <v>45676</v>
      </c>
      <c r="L37" s="628">
        <f t="shared" si="17"/>
        <v>45677</v>
      </c>
      <c r="M37" s="628">
        <f t="shared" si="17"/>
        <v>45678</v>
      </c>
      <c r="N37" s="628">
        <f t="shared" si="17"/>
        <v>45679</v>
      </c>
      <c r="O37" s="628">
        <f t="shared" si="17"/>
        <v>45680</v>
      </c>
      <c r="P37" s="628">
        <f t="shared" si="17"/>
        <v>45681</v>
      </c>
      <c r="Q37" s="628">
        <f t="shared" si="17"/>
        <v>45682</v>
      </c>
      <c r="R37" s="628">
        <f t="shared" si="17"/>
        <v>45683</v>
      </c>
      <c r="S37" s="628">
        <f t="shared" si="17"/>
        <v>45684</v>
      </c>
      <c r="T37" s="628">
        <f t="shared" si="17"/>
        <v>45685</v>
      </c>
      <c r="U37" s="628">
        <f t="shared" si="17"/>
        <v>45686</v>
      </c>
      <c r="V37" s="628">
        <f t="shared" si="17"/>
        <v>45687</v>
      </c>
      <c r="W37" s="628">
        <f t="shared" si="17"/>
        <v>45688</v>
      </c>
      <c r="X37" s="628">
        <f t="shared" si="17"/>
        <v>45689</v>
      </c>
      <c r="Y37" s="628">
        <f t="shared" si="17"/>
        <v>45690</v>
      </c>
      <c r="Z37" s="628">
        <f t="shared" si="17"/>
        <v>45691</v>
      </c>
      <c r="AA37" s="628">
        <f t="shared" si="17"/>
        <v>45692</v>
      </c>
      <c r="AB37" s="628">
        <f t="shared" si="17"/>
        <v>45693</v>
      </c>
      <c r="AC37" s="628">
        <f t="shared" si="17"/>
        <v>45694</v>
      </c>
      <c r="AD37" s="628">
        <f t="shared" si="17"/>
        <v>45695</v>
      </c>
      <c r="AE37" s="628">
        <f t="shared" si="17"/>
        <v>45696</v>
      </c>
      <c r="AF37" s="628">
        <f t="shared" si="17"/>
        <v>45697</v>
      </c>
      <c r="AG37" s="628">
        <f t="shared" si="17"/>
        <v>45698</v>
      </c>
      <c r="AH37" s="628">
        <f t="shared" si="17"/>
        <v>45699</v>
      </c>
      <c r="AI37" s="628">
        <f t="shared" si="17"/>
        <v>45700</v>
      </c>
      <c r="AJ37" s="628">
        <f t="shared" si="17"/>
        <v>45701</v>
      </c>
      <c r="AK37" s="628">
        <f t="shared" si="17"/>
        <v>45702</v>
      </c>
      <c r="AL37" s="628">
        <f t="shared" ref="AL37:BK37" si="18">AL10</f>
        <v>45703</v>
      </c>
      <c r="AM37" s="628">
        <f t="shared" si="18"/>
        <v>45704</v>
      </c>
      <c r="AN37" s="628">
        <f t="shared" si="18"/>
        <v>45705</v>
      </c>
      <c r="AO37" s="628">
        <f t="shared" si="18"/>
        <v>45706</v>
      </c>
      <c r="AP37" s="628">
        <f t="shared" si="18"/>
        <v>45707</v>
      </c>
      <c r="AQ37" s="628">
        <f t="shared" si="18"/>
        <v>45708</v>
      </c>
      <c r="AR37" s="628">
        <f t="shared" si="18"/>
        <v>45709</v>
      </c>
      <c r="AS37" s="628">
        <f t="shared" si="18"/>
        <v>45710</v>
      </c>
      <c r="AT37" s="628">
        <f t="shared" si="18"/>
        <v>45711</v>
      </c>
      <c r="AU37" s="628">
        <f t="shared" si="18"/>
        <v>45712</v>
      </c>
      <c r="AV37" s="628">
        <f t="shared" si="18"/>
        <v>45713</v>
      </c>
      <c r="AW37" s="628">
        <f t="shared" si="18"/>
        <v>45714</v>
      </c>
      <c r="AX37" s="628">
        <f t="shared" si="18"/>
        <v>45715</v>
      </c>
      <c r="AY37" s="628">
        <f t="shared" si="18"/>
        <v>45716</v>
      </c>
      <c r="AZ37" s="628">
        <f t="shared" si="18"/>
        <v>45717</v>
      </c>
      <c r="BA37" s="628">
        <f t="shared" si="18"/>
        <v>45718</v>
      </c>
      <c r="BB37" s="628">
        <f t="shared" si="18"/>
        <v>45719</v>
      </c>
      <c r="BC37" s="628">
        <f t="shared" si="18"/>
        <v>45720</v>
      </c>
      <c r="BD37" s="628">
        <f t="shared" si="18"/>
        <v>45721</v>
      </c>
      <c r="BE37" s="628">
        <f t="shared" si="18"/>
        <v>45722</v>
      </c>
      <c r="BF37" s="628">
        <f t="shared" si="18"/>
        <v>45723</v>
      </c>
      <c r="BG37" s="628">
        <f t="shared" si="18"/>
        <v>45724</v>
      </c>
      <c r="BH37" s="628">
        <f t="shared" si="18"/>
        <v>45725</v>
      </c>
      <c r="BI37" s="628">
        <f t="shared" si="18"/>
        <v>45726</v>
      </c>
      <c r="BJ37" s="628">
        <f t="shared" si="18"/>
        <v>45727</v>
      </c>
      <c r="BK37" s="628">
        <f t="shared" si="18"/>
        <v>45728</v>
      </c>
      <c r="BL37" s="628"/>
      <c r="BM37" s="628"/>
      <c r="BN37" s="628"/>
      <c r="BO37" s="628"/>
      <c r="BP37" s="628"/>
      <c r="BQ37" s="628"/>
      <c r="BR37" s="628"/>
      <c r="BS37" s="628"/>
      <c r="BT37" s="628"/>
      <c r="BU37" s="628"/>
      <c r="BV37" s="628"/>
      <c r="BW37" s="628"/>
      <c r="BX37" s="628"/>
      <c r="BY37" s="628"/>
      <c r="BZ37" s="628"/>
      <c r="CA37" s="628"/>
      <c r="CB37" s="628"/>
      <c r="CC37" s="628"/>
      <c r="CD37" s="628"/>
      <c r="CE37" s="628"/>
      <c r="CF37" s="628"/>
      <c r="CG37" s="628"/>
      <c r="CH37" s="628"/>
      <c r="CI37" s="628"/>
      <c r="CJ37" s="628"/>
      <c r="CK37" s="628"/>
      <c r="CL37" s="628">
        <f>CL10</f>
        <v>45755</v>
      </c>
      <c r="CM37" s="628"/>
      <c r="CN37" s="628"/>
      <c r="CO37" s="628"/>
      <c r="CP37" s="628">
        <f>CP10</f>
        <v>45759</v>
      </c>
      <c r="CQ37" s="629"/>
      <c r="DD37" s="545"/>
    </row>
    <row r="38" spans="1:108" ht="25.35" customHeight="1" x14ac:dyDescent="0.3">
      <c r="D38" s="630" t="s">
        <v>628</v>
      </c>
      <c r="E38" s="631">
        <v>0</v>
      </c>
      <c r="F38" s="631">
        <f t="shared" ref="F38:CP38" si="19">F32*$D$36</f>
        <v>0</v>
      </c>
      <c r="G38" s="631">
        <f t="shared" si="19"/>
        <v>0</v>
      </c>
      <c r="H38" s="631">
        <f t="shared" si="19"/>
        <v>0</v>
      </c>
      <c r="I38" s="631">
        <f t="shared" si="19"/>
        <v>0</v>
      </c>
      <c r="J38" s="631">
        <f t="shared" si="19"/>
        <v>0</v>
      </c>
      <c r="K38" s="631">
        <f t="shared" si="19"/>
        <v>0</v>
      </c>
      <c r="L38" s="631">
        <f t="shared" si="19"/>
        <v>0</v>
      </c>
      <c r="M38" s="631">
        <f t="shared" si="19"/>
        <v>0</v>
      </c>
      <c r="N38" s="631">
        <f t="shared" si="19"/>
        <v>0</v>
      </c>
      <c r="O38" s="631">
        <f t="shared" si="19"/>
        <v>0</v>
      </c>
      <c r="P38" s="631">
        <f t="shared" si="19"/>
        <v>0</v>
      </c>
      <c r="Q38" s="631">
        <f t="shared" si="19"/>
        <v>0</v>
      </c>
      <c r="R38" s="631">
        <f t="shared" si="19"/>
        <v>0</v>
      </c>
      <c r="S38" s="631">
        <f t="shared" si="19"/>
        <v>0</v>
      </c>
      <c r="T38" s="631">
        <f t="shared" si="19"/>
        <v>0</v>
      </c>
      <c r="U38" s="631">
        <f t="shared" si="19"/>
        <v>0</v>
      </c>
      <c r="V38" s="631">
        <f t="shared" si="19"/>
        <v>0</v>
      </c>
      <c r="W38" s="631">
        <f t="shared" si="19"/>
        <v>0</v>
      </c>
      <c r="X38" s="631">
        <f t="shared" si="19"/>
        <v>0</v>
      </c>
      <c r="Y38" s="631">
        <f t="shared" si="19"/>
        <v>0</v>
      </c>
      <c r="Z38" s="631">
        <f t="shared" si="19"/>
        <v>0</v>
      </c>
      <c r="AA38" s="631">
        <f t="shared" si="19"/>
        <v>0</v>
      </c>
      <c r="AB38" s="631">
        <f t="shared" si="19"/>
        <v>0</v>
      </c>
      <c r="AC38" s="631">
        <f t="shared" si="19"/>
        <v>0</v>
      </c>
      <c r="AD38" s="631">
        <f t="shared" si="19"/>
        <v>0</v>
      </c>
      <c r="AE38" s="631">
        <f t="shared" si="19"/>
        <v>0</v>
      </c>
      <c r="AF38" s="631">
        <f t="shared" si="19"/>
        <v>0</v>
      </c>
      <c r="AG38" s="631">
        <f t="shared" si="19"/>
        <v>0</v>
      </c>
      <c r="AH38" s="631">
        <f t="shared" si="19"/>
        <v>0</v>
      </c>
      <c r="AI38" s="631">
        <f t="shared" si="19"/>
        <v>0</v>
      </c>
      <c r="AJ38" s="631">
        <f t="shared" si="19"/>
        <v>0</v>
      </c>
      <c r="AK38" s="631">
        <f t="shared" si="19"/>
        <v>0</v>
      </c>
      <c r="AL38" s="631">
        <f t="shared" si="19"/>
        <v>0</v>
      </c>
      <c r="AM38" s="631">
        <f t="shared" si="19"/>
        <v>0</v>
      </c>
      <c r="AN38" s="631">
        <f t="shared" si="19"/>
        <v>0</v>
      </c>
      <c r="AO38" s="631">
        <f t="shared" si="19"/>
        <v>0</v>
      </c>
      <c r="AP38" s="631">
        <f t="shared" si="19"/>
        <v>0</v>
      </c>
      <c r="AQ38" s="631">
        <f t="shared" si="19"/>
        <v>0</v>
      </c>
      <c r="AR38" s="631">
        <f t="shared" si="19"/>
        <v>0</v>
      </c>
      <c r="AS38" s="631">
        <f t="shared" si="19"/>
        <v>0</v>
      </c>
      <c r="AT38" s="631">
        <f t="shared" si="19"/>
        <v>0</v>
      </c>
      <c r="AU38" s="631">
        <f t="shared" si="19"/>
        <v>0</v>
      </c>
      <c r="AV38" s="631">
        <f t="shared" si="19"/>
        <v>0</v>
      </c>
      <c r="AW38" s="631">
        <f t="shared" si="19"/>
        <v>0</v>
      </c>
      <c r="AX38" s="631">
        <f t="shared" si="19"/>
        <v>0</v>
      </c>
      <c r="AY38" s="631">
        <f t="shared" si="19"/>
        <v>0</v>
      </c>
      <c r="AZ38" s="631">
        <f t="shared" si="19"/>
        <v>0</v>
      </c>
      <c r="BA38" s="631">
        <f t="shared" si="19"/>
        <v>0</v>
      </c>
      <c r="BB38" s="631">
        <f t="shared" si="19"/>
        <v>0</v>
      </c>
      <c r="BC38" s="631">
        <f t="shared" si="19"/>
        <v>0</v>
      </c>
      <c r="BD38" s="631">
        <f t="shared" si="19"/>
        <v>0</v>
      </c>
      <c r="BE38" s="631">
        <f t="shared" si="19"/>
        <v>0</v>
      </c>
      <c r="BF38" s="631">
        <f t="shared" si="19"/>
        <v>0</v>
      </c>
      <c r="BG38" s="631">
        <f t="shared" si="19"/>
        <v>0</v>
      </c>
      <c r="BH38" s="631">
        <f t="shared" si="19"/>
        <v>0</v>
      </c>
      <c r="BI38" s="631">
        <f t="shared" si="19"/>
        <v>0</v>
      </c>
      <c r="BJ38" s="631">
        <f t="shared" si="19"/>
        <v>0</v>
      </c>
      <c r="BK38" s="631">
        <f t="shared" si="19"/>
        <v>0</v>
      </c>
      <c r="BL38" s="631"/>
      <c r="BM38" s="631"/>
      <c r="BN38" s="631"/>
      <c r="BO38" s="631"/>
      <c r="BP38" s="631"/>
      <c r="BQ38" s="631"/>
      <c r="BR38" s="631"/>
      <c r="BS38" s="631"/>
      <c r="BT38" s="631"/>
      <c r="BU38" s="631"/>
      <c r="BV38" s="631"/>
      <c r="BW38" s="631"/>
      <c r="BX38" s="631"/>
      <c r="BY38" s="631"/>
      <c r="BZ38" s="631"/>
      <c r="CA38" s="631"/>
      <c r="CB38" s="631"/>
      <c r="CC38" s="631"/>
      <c r="CD38" s="631"/>
      <c r="CE38" s="631"/>
      <c r="CF38" s="631"/>
      <c r="CG38" s="631"/>
      <c r="CH38" s="631"/>
      <c r="CI38" s="631"/>
      <c r="CJ38" s="631"/>
      <c r="CK38" s="631"/>
      <c r="CL38" s="631">
        <f>CL32*$D$36</f>
        <v>0</v>
      </c>
      <c r="CM38" s="631"/>
      <c r="CN38" s="631"/>
      <c r="CO38" s="631"/>
      <c r="CP38" s="631">
        <f t="shared" si="19"/>
        <v>0</v>
      </c>
      <c r="DD38" s="545"/>
    </row>
    <row r="39" spans="1:108" ht="25.35" customHeight="1" x14ac:dyDescent="0.3">
      <c r="D39" s="630" t="s">
        <v>641</v>
      </c>
      <c r="E39" s="631">
        <f>E38</f>
        <v>0</v>
      </c>
      <c r="F39" s="631">
        <f t="shared" ref="F39:BK39" si="20">E39+F38</f>
        <v>0</v>
      </c>
      <c r="G39" s="631">
        <f t="shared" si="20"/>
        <v>0</v>
      </c>
      <c r="H39" s="631">
        <f t="shared" si="20"/>
        <v>0</v>
      </c>
      <c r="I39" s="631">
        <f t="shared" si="20"/>
        <v>0</v>
      </c>
      <c r="J39" s="631">
        <f t="shared" si="20"/>
        <v>0</v>
      </c>
      <c r="K39" s="631">
        <f t="shared" si="20"/>
        <v>0</v>
      </c>
      <c r="L39" s="631">
        <f t="shared" si="20"/>
        <v>0</v>
      </c>
      <c r="M39" s="631">
        <f t="shared" si="20"/>
        <v>0</v>
      </c>
      <c r="N39" s="631">
        <f t="shared" si="20"/>
        <v>0</v>
      </c>
      <c r="O39" s="631">
        <f t="shared" si="20"/>
        <v>0</v>
      </c>
      <c r="P39" s="631">
        <f t="shared" si="20"/>
        <v>0</v>
      </c>
      <c r="Q39" s="631">
        <f t="shared" si="20"/>
        <v>0</v>
      </c>
      <c r="R39" s="631">
        <f t="shared" si="20"/>
        <v>0</v>
      </c>
      <c r="S39" s="631">
        <f t="shared" si="20"/>
        <v>0</v>
      </c>
      <c r="T39" s="631">
        <f t="shared" si="20"/>
        <v>0</v>
      </c>
      <c r="U39" s="631">
        <f t="shared" si="20"/>
        <v>0</v>
      </c>
      <c r="V39" s="631">
        <f t="shared" si="20"/>
        <v>0</v>
      </c>
      <c r="W39" s="631">
        <f t="shared" si="20"/>
        <v>0</v>
      </c>
      <c r="X39" s="631">
        <f t="shared" si="20"/>
        <v>0</v>
      </c>
      <c r="Y39" s="631">
        <f t="shared" si="20"/>
        <v>0</v>
      </c>
      <c r="Z39" s="631">
        <f t="shared" si="20"/>
        <v>0</v>
      </c>
      <c r="AA39" s="631">
        <f t="shared" si="20"/>
        <v>0</v>
      </c>
      <c r="AB39" s="631">
        <f t="shared" si="20"/>
        <v>0</v>
      </c>
      <c r="AC39" s="631">
        <f t="shared" si="20"/>
        <v>0</v>
      </c>
      <c r="AD39" s="631">
        <f t="shared" si="20"/>
        <v>0</v>
      </c>
      <c r="AE39" s="631">
        <f t="shared" si="20"/>
        <v>0</v>
      </c>
      <c r="AF39" s="631">
        <f t="shared" si="20"/>
        <v>0</v>
      </c>
      <c r="AG39" s="631">
        <f t="shared" si="20"/>
        <v>0</v>
      </c>
      <c r="AH39" s="631">
        <f t="shared" si="20"/>
        <v>0</v>
      </c>
      <c r="AI39" s="631">
        <f t="shared" si="20"/>
        <v>0</v>
      </c>
      <c r="AJ39" s="631">
        <f t="shared" si="20"/>
        <v>0</v>
      </c>
      <c r="AK39" s="631">
        <f t="shared" si="20"/>
        <v>0</v>
      </c>
      <c r="AL39" s="631">
        <f t="shared" si="20"/>
        <v>0</v>
      </c>
      <c r="AM39" s="631">
        <f t="shared" si="20"/>
        <v>0</v>
      </c>
      <c r="AN39" s="631">
        <f t="shared" si="20"/>
        <v>0</v>
      </c>
      <c r="AO39" s="631">
        <f t="shared" si="20"/>
        <v>0</v>
      </c>
      <c r="AP39" s="631">
        <f t="shared" si="20"/>
        <v>0</v>
      </c>
      <c r="AQ39" s="631">
        <f t="shared" si="20"/>
        <v>0</v>
      </c>
      <c r="AR39" s="631">
        <f t="shared" si="20"/>
        <v>0</v>
      </c>
      <c r="AS39" s="631">
        <f t="shared" si="20"/>
        <v>0</v>
      </c>
      <c r="AT39" s="631">
        <f t="shared" si="20"/>
        <v>0</v>
      </c>
      <c r="AU39" s="631">
        <f t="shared" si="20"/>
        <v>0</v>
      </c>
      <c r="AV39" s="631">
        <f t="shared" si="20"/>
        <v>0</v>
      </c>
      <c r="AW39" s="631">
        <f t="shared" si="20"/>
        <v>0</v>
      </c>
      <c r="AX39" s="631">
        <f t="shared" si="20"/>
        <v>0</v>
      </c>
      <c r="AY39" s="631">
        <f t="shared" si="20"/>
        <v>0</v>
      </c>
      <c r="AZ39" s="631">
        <f t="shared" si="20"/>
        <v>0</v>
      </c>
      <c r="BA39" s="631">
        <f t="shared" si="20"/>
        <v>0</v>
      </c>
      <c r="BB39" s="631">
        <f t="shared" si="20"/>
        <v>0</v>
      </c>
      <c r="BC39" s="631">
        <f t="shared" si="20"/>
        <v>0</v>
      </c>
      <c r="BD39" s="631">
        <f t="shared" si="20"/>
        <v>0</v>
      </c>
      <c r="BE39" s="631">
        <f t="shared" si="20"/>
        <v>0</v>
      </c>
      <c r="BF39" s="631">
        <f t="shared" si="20"/>
        <v>0</v>
      </c>
      <c r="BG39" s="631">
        <f t="shared" si="20"/>
        <v>0</v>
      </c>
      <c r="BH39" s="631">
        <f t="shared" si="20"/>
        <v>0</v>
      </c>
      <c r="BI39" s="631">
        <f t="shared" si="20"/>
        <v>0</v>
      </c>
      <c r="BJ39" s="631">
        <f t="shared" si="20"/>
        <v>0</v>
      </c>
      <c r="BK39" s="631">
        <f t="shared" si="20"/>
        <v>0</v>
      </c>
      <c r="BL39" s="631"/>
      <c r="BM39" s="631"/>
      <c r="BN39" s="631"/>
      <c r="BO39" s="631"/>
      <c r="BP39" s="631"/>
      <c r="BQ39" s="631"/>
      <c r="BR39" s="631"/>
      <c r="BS39" s="631"/>
      <c r="BT39" s="631"/>
      <c r="BU39" s="631"/>
      <c r="BV39" s="631"/>
      <c r="BW39" s="631"/>
      <c r="BX39" s="631"/>
      <c r="BY39" s="631"/>
      <c r="BZ39" s="631"/>
      <c r="CA39" s="631"/>
      <c r="CB39" s="631"/>
      <c r="CC39" s="631"/>
      <c r="CD39" s="631"/>
      <c r="CE39" s="631"/>
      <c r="CF39" s="631"/>
      <c r="CG39" s="631"/>
      <c r="CH39" s="631"/>
      <c r="CI39" s="631"/>
      <c r="CJ39" s="631"/>
      <c r="CK39" s="631"/>
      <c r="CL39" s="631">
        <f>BG39+CL38</f>
        <v>0</v>
      </c>
      <c r="CM39" s="631"/>
      <c r="CN39" s="631"/>
      <c r="CO39" s="631"/>
      <c r="CP39" s="631">
        <f>BK39+CP38</f>
        <v>0</v>
      </c>
      <c r="CQ39" s="629"/>
    </row>
    <row r="40" spans="1:108" ht="25.35" customHeight="1" x14ac:dyDescent="0.3">
      <c r="D40" s="630" t="s">
        <v>642</v>
      </c>
      <c r="E40" s="632"/>
      <c r="F40" s="633"/>
      <c r="G40" s="633"/>
      <c r="H40" s="633"/>
      <c r="I40" s="633"/>
      <c r="J40" s="633"/>
      <c r="K40" s="633"/>
      <c r="L40" s="633"/>
      <c r="M40" s="633"/>
      <c r="N40" s="633"/>
      <c r="O40" s="633"/>
      <c r="P40" s="633"/>
      <c r="Q40" s="633"/>
      <c r="R40" s="633"/>
      <c r="S40" s="633"/>
      <c r="T40" s="633"/>
      <c r="U40" s="633"/>
      <c r="V40" s="633"/>
      <c r="W40" s="633"/>
      <c r="X40" s="633"/>
      <c r="Y40" s="633"/>
      <c r="Z40" s="633"/>
      <c r="AA40" s="633"/>
      <c r="AB40" s="633"/>
      <c r="AC40" s="633"/>
      <c r="AD40" s="633"/>
      <c r="AE40" s="633"/>
      <c r="AF40" s="633"/>
      <c r="AG40" s="633"/>
      <c r="AH40" s="633"/>
      <c r="AI40" s="633"/>
      <c r="AJ40" s="633"/>
      <c r="AK40" s="633"/>
      <c r="AL40" s="633"/>
      <c r="AM40" s="633"/>
      <c r="AN40" s="633"/>
      <c r="AO40" s="633"/>
      <c r="AP40" s="633"/>
      <c r="AQ40" s="633"/>
      <c r="AR40" s="633"/>
      <c r="AS40" s="633"/>
      <c r="AT40" s="633"/>
      <c r="AU40" s="633"/>
      <c r="AV40" s="633"/>
      <c r="AW40" s="633"/>
      <c r="AX40" s="633"/>
      <c r="AY40" s="633"/>
      <c r="AZ40" s="633"/>
      <c r="BA40" s="633"/>
      <c r="BB40" s="633"/>
      <c r="BC40" s="633"/>
      <c r="BD40" s="633"/>
      <c r="BE40" s="633"/>
      <c r="BF40" s="633"/>
      <c r="BG40" s="633"/>
      <c r="BH40" s="633"/>
      <c r="BI40" s="633"/>
      <c r="BJ40" s="633"/>
      <c r="BK40" s="633"/>
      <c r="BL40" s="633"/>
      <c r="BM40" s="633"/>
      <c r="BN40" s="633"/>
      <c r="BO40" s="633"/>
      <c r="BP40" s="633"/>
      <c r="BQ40" s="633"/>
      <c r="BR40" s="633"/>
      <c r="BS40" s="633"/>
      <c r="BT40" s="633"/>
      <c r="BU40" s="633"/>
      <c r="BV40" s="633"/>
      <c r="BW40" s="633"/>
      <c r="BX40" s="633"/>
      <c r="BY40" s="633"/>
      <c r="BZ40" s="633"/>
      <c r="CA40" s="633"/>
      <c r="CB40" s="633"/>
      <c r="CC40" s="633"/>
      <c r="CD40" s="633"/>
      <c r="CE40" s="633"/>
      <c r="CF40" s="633"/>
      <c r="CG40" s="633"/>
      <c r="CH40" s="633"/>
      <c r="CI40" s="633"/>
      <c r="CJ40" s="633"/>
      <c r="CK40" s="633"/>
      <c r="CL40" s="633"/>
      <c r="CM40" s="633"/>
      <c r="CN40" s="633"/>
      <c r="CO40" s="633"/>
      <c r="CP40" s="633"/>
    </row>
    <row r="41" spans="1:108" ht="24.75" customHeight="1" x14ac:dyDescent="0.3">
      <c r="D41" s="630" t="s">
        <v>643</v>
      </c>
      <c r="E41" s="634">
        <f>E40</f>
        <v>0</v>
      </c>
      <c r="F41" s="635">
        <f t="shared" ref="F41:BK41" si="21">E41+F40</f>
        <v>0</v>
      </c>
      <c r="G41" s="635">
        <f t="shared" si="21"/>
        <v>0</v>
      </c>
      <c r="H41" s="635">
        <f t="shared" si="21"/>
        <v>0</v>
      </c>
      <c r="I41" s="635">
        <f t="shared" si="21"/>
        <v>0</v>
      </c>
      <c r="J41" s="635">
        <f t="shared" si="21"/>
        <v>0</v>
      </c>
      <c r="K41" s="635">
        <f t="shared" si="21"/>
        <v>0</v>
      </c>
      <c r="L41" s="635">
        <f t="shared" si="21"/>
        <v>0</v>
      </c>
      <c r="M41" s="635">
        <f t="shared" si="21"/>
        <v>0</v>
      </c>
      <c r="N41" s="635">
        <f t="shared" si="21"/>
        <v>0</v>
      </c>
      <c r="O41" s="635">
        <f t="shared" si="21"/>
        <v>0</v>
      </c>
      <c r="P41" s="635">
        <f t="shared" si="21"/>
        <v>0</v>
      </c>
      <c r="Q41" s="635">
        <f t="shared" si="21"/>
        <v>0</v>
      </c>
      <c r="R41" s="635">
        <f t="shared" si="21"/>
        <v>0</v>
      </c>
      <c r="S41" s="635">
        <f t="shared" si="21"/>
        <v>0</v>
      </c>
      <c r="T41" s="635">
        <f t="shared" si="21"/>
        <v>0</v>
      </c>
      <c r="U41" s="635">
        <f t="shared" si="21"/>
        <v>0</v>
      </c>
      <c r="V41" s="635">
        <f t="shared" si="21"/>
        <v>0</v>
      </c>
      <c r="W41" s="635">
        <f t="shared" si="21"/>
        <v>0</v>
      </c>
      <c r="X41" s="635">
        <f t="shared" si="21"/>
        <v>0</v>
      </c>
      <c r="Y41" s="635">
        <f t="shared" si="21"/>
        <v>0</v>
      </c>
      <c r="Z41" s="635">
        <f t="shared" si="21"/>
        <v>0</v>
      </c>
      <c r="AA41" s="635">
        <f t="shared" si="21"/>
        <v>0</v>
      </c>
      <c r="AB41" s="635">
        <f t="shared" si="21"/>
        <v>0</v>
      </c>
      <c r="AC41" s="635">
        <f t="shared" si="21"/>
        <v>0</v>
      </c>
      <c r="AD41" s="635">
        <f t="shared" si="21"/>
        <v>0</v>
      </c>
      <c r="AE41" s="635">
        <f t="shared" si="21"/>
        <v>0</v>
      </c>
      <c r="AF41" s="635">
        <f t="shared" si="21"/>
        <v>0</v>
      </c>
      <c r="AG41" s="635">
        <f t="shared" si="21"/>
        <v>0</v>
      </c>
      <c r="AH41" s="635">
        <f t="shared" si="21"/>
        <v>0</v>
      </c>
      <c r="AI41" s="635">
        <f t="shared" si="21"/>
        <v>0</v>
      </c>
      <c r="AJ41" s="635">
        <f t="shared" si="21"/>
        <v>0</v>
      </c>
      <c r="AK41" s="635">
        <f t="shared" si="21"/>
        <v>0</v>
      </c>
      <c r="AL41" s="635">
        <f t="shared" si="21"/>
        <v>0</v>
      </c>
      <c r="AM41" s="635">
        <f t="shared" si="21"/>
        <v>0</v>
      </c>
      <c r="AN41" s="635">
        <f t="shared" si="21"/>
        <v>0</v>
      </c>
      <c r="AO41" s="635">
        <f t="shared" si="21"/>
        <v>0</v>
      </c>
      <c r="AP41" s="635">
        <f t="shared" si="21"/>
        <v>0</v>
      </c>
      <c r="AQ41" s="635">
        <f t="shared" si="21"/>
        <v>0</v>
      </c>
      <c r="AR41" s="635">
        <f t="shared" si="21"/>
        <v>0</v>
      </c>
      <c r="AS41" s="635">
        <f t="shared" si="21"/>
        <v>0</v>
      </c>
      <c r="AT41" s="635">
        <f t="shared" si="21"/>
        <v>0</v>
      </c>
      <c r="AU41" s="635">
        <f t="shared" si="21"/>
        <v>0</v>
      </c>
      <c r="AV41" s="635">
        <f t="shared" si="21"/>
        <v>0</v>
      </c>
      <c r="AW41" s="635">
        <f t="shared" si="21"/>
        <v>0</v>
      </c>
      <c r="AX41" s="635">
        <f t="shared" si="21"/>
        <v>0</v>
      </c>
      <c r="AY41" s="635">
        <f t="shared" si="21"/>
        <v>0</v>
      </c>
      <c r="AZ41" s="635">
        <f t="shared" si="21"/>
        <v>0</v>
      </c>
      <c r="BA41" s="635">
        <f t="shared" si="21"/>
        <v>0</v>
      </c>
      <c r="BB41" s="635">
        <f t="shared" si="21"/>
        <v>0</v>
      </c>
      <c r="BC41" s="635">
        <f t="shared" si="21"/>
        <v>0</v>
      </c>
      <c r="BD41" s="635">
        <f t="shared" si="21"/>
        <v>0</v>
      </c>
      <c r="BE41" s="635">
        <f t="shared" si="21"/>
        <v>0</v>
      </c>
      <c r="BF41" s="635">
        <f t="shared" si="21"/>
        <v>0</v>
      </c>
      <c r="BG41" s="635">
        <f t="shared" si="21"/>
        <v>0</v>
      </c>
      <c r="BH41" s="635">
        <f t="shared" si="21"/>
        <v>0</v>
      </c>
      <c r="BI41" s="635">
        <f t="shared" si="21"/>
        <v>0</v>
      </c>
      <c r="BJ41" s="635">
        <f t="shared" si="21"/>
        <v>0</v>
      </c>
      <c r="BK41" s="635">
        <f t="shared" si="21"/>
        <v>0</v>
      </c>
      <c r="BL41" s="635"/>
      <c r="BM41" s="635"/>
      <c r="BN41" s="635"/>
      <c r="BO41" s="635"/>
      <c r="BP41" s="635"/>
      <c r="BQ41" s="635"/>
      <c r="BR41" s="635"/>
      <c r="BS41" s="635"/>
      <c r="BT41" s="635"/>
      <c r="BU41" s="635"/>
      <c r="BV41" s="635"/>
      <c r="BW41" s="635"/>
      <c r="BX41" s="635"/>
      <c r="BY41" s="635"/>
      <c r="BZ41" s="635"/>
      <c r="CA41" s="635"/>
      <c r="CB41" s="635"/>
      <c r="CC41" s="635"/>
      <c r="CD41" s="635"/>
      <c r="CE41" s="635"/>
      <c r="CF41" s="635"/>
      <c r="CG41" s="635"/>
      <c r="CH41" s="635"/>
      <c r="CI41" s="635"/>
      <c r="CJ41" s="635"/>
      <c r="CK41" s="635"/>
      <c r="CL41" s="635">
        <f>BG41+CL40</f>
        <v>0</v>
      </c>
      <c r="CM41" s="635"/>
      <c r="CN41" s="635"/>
      <c r="CO41" s="635"/>
      <c r="CP41" s="635">
        <f>BK41+CP40</f>
        <v>0</v>
      </c>
      <c r="DB41" s="636"/>
    </row>
    <row r="43" spans="1:108" x14ac:dyDescent="0.3">
      <c r="E43" s="637" t="s">
        <v>658</v>
      </c>
      <c r="F43" s="638">
        <f>E37</f>
        <v>45670</v>
      </c>
      <c r="G43" s="638">
        <f>F43+7</f>
        <v>45677</v>
      </c>
      <c r="H43" s="638">
        <f>G43+7</f>
        <v>45684</v>
      </c>
      <c r="I43" s="638">
        <f>H43+7</f>
        <v>45691</v>
      </c>
      <c r="J43" s="638">
        <f>I43+7</f>
        <v>45698</v>
      </c>
      <c r="K43" s="638"/>
      <c r="L43" s="639"/>
      <c r="M43" s="639"/>
      <c r="N43" s="639"/>
      <c r="O43" s="639"/>
      <c r="P43" s="639"/>
      <c r="Q43" s="639"/>
      <c r="R43" s="639"/>
      <c r="S43" s="639"/>
      <c r="T43" s="639"/>
      <c r="U43" s="639"/>
      <c r="V43" s="639"/>
    </row>
    <row r="44" spans="1:108" ht="27.6" customHeight="1" x14ac:dyDescent="0.3">
      <c r="D44" s="630" t="s">
        <v>628</v>
      </c>
      <c r="E44" s="640">
        <v>0</v>
      </c>
      <c r="F44" s="641">
        <f>SUM(E38:K38)</f>
        <v>0</v>
      </c>
      <c r="G44" s="641">
        <f>SUM(L38:P38)</f>
        <v>0</v>
      </c>
      <c r="H44" s="641">
        <f>SUM(Q38:W38)</f>
        <v>0</v>
      </c>
      <c r="I44" s="641">
        <f>SUM(X38:AD38)</f>
        <v>0</v>
      </c>
      <c r="J44" s="641">
        <f>SUM(AE38:AF38)</f>
        <v>0</v>
      </c>
      <c r="K44" s="641"/>
      <c r="Y44" s="639"/>
    </row>
    <row r="45" spans="1:108" ht="20.100000000000001" customHeight="1" x14ac:dyDescent="0.3">
      <c r="D45" s="630" t="s">
        <v>641</v>
      </c>
      <c r="E45" s="640">
        <v>0</v>
      </c>
      <c r="F45" s="641">
        <f>F44</f>
        <v>0</v>
      </c>
      <c r="G45" s="641">
        <f>F45+G44</f>
        <v>0</v>
      </c>
      <c r="H45" s="641">
        <f>G45+H44</f>
        <v>0</v>
      </c>
      <c r="I45" s="641">
        <f>H45+I44</f>
        <v>0</v>
      </c>
      <c r="J45" s="641">
        <f>I45+J44</f>
        <v>0</v>
      </c>
      <c r="K45" s="641"/>
    </row>
    <row r="46" spans="1:108" ht="20.100000000000001" customHeight="1" x14ac:dyDescent="0.3">
      <c r="D46" s="630" t="s">
        <v>642</v>
      </c>
      <c r="E46" s="640">
        <v>0</v>
      </c>
      <c r="F46" s="642"/>
      <c r="G46" s="642"/>
      <c r="H46" s="642"/>
      <c r="I46" s="642"/>
      <c r="J46" s="642"/>
      <c r="K46" s="642"/>
      <c r="L46" s="622"/>
      <c r="M46" s="622"/>
      <c r="N46" s="622"/>
      <c r="O46" s="622"/>
      <c r="P46" s="622"/>
      <c r="Q46" s="622"/>
      <c r="R46" s="622"/>
      <c r="S46" s="622"/>
      <c r="T46" s="622"/>
      <c r="U46" s="622"/>
      <c r="V46" s="622"/>
      <c r="X46" s="622"/>
    </row>
    <row r="47" spans="1:108" ht="20.100000000000001" customHeight="1" x14ac:dyDescent="0.3">
      <c r="D47" s="630" t="s">
        <v>643</v>
      </c>
      <c r="E47" s="640">
        <v>0</v>
      </c>
      <c r="F47" s="641">
        <f>F46</f>
        <v>0</v>
      </c>
      <c r="G47" s="641">
        <f>F47+G46</f>
        <v>0</v>
      </c>
      <c r="H47" s="641">
        <f>G47+H46</f>
        <v>0</v>
      </c>
      <c r="I47" s="641">
        <f>H47+I46</f>
        <v>0</v>
      </c>
      <c r="J47" s="641">
        <f>I47+J46</f>
        <v>0</v>
      </c>
      <c r="K47" s="641"/>
    </row>
    <row r="49" spans="4:11" x14ac:dyDescent="0.3">
      <c r="E49" s="643"/>
      <c r="F49" s="644">
        <f>F43</f>
        <v>45670</v>
      </c>
      <c r="G49" s="644">
        <f>G43</f>
        <v>45677</v>
      </c>
      <c r="H49" s="644">
        <f>H43</f>
        <v>45684</v>
      </c>
      <c r="I49" s="644">
        <f>I43</f>
        <v>45691</v>
      </c>
      <c r="J49" s="644">
        <f>J43</f>
        <v>45698</v>
      </c>
      <c r="K49" s="644"/>
    </row>
    <row r="50" spans="4:11" x14ac:dyDescent="0.3">
      <c r="D50" s="639"/>
      <c r="E50" s="609" t="s">
        <v>628</v>
      </c>
      <c r="F50" s="645">
        <f>IFERROR(AVERAGE(E32:J32),"0")</f>
        <v>0</v>
      </c>
      <c r="G50" s="645">
        <f>IFERROR(AVERAGE(L32:P32),"0")</f>
        <v>0</v>
      </c>
      <c r="H50" s="645">
        <f>IFERROR(AVERAGE(Q32:V32),"0")</f>
        <v>0</v>
      </c>
      <c r="I50" s="645">
        <f>IFERROR(AVERAGE(X32:AC32),"0")</f>
        <v>0</v>
      </c>
      <c r="J50" s="645">
        <f>IFERROR(AVERAGE(AE32:AF32),"0")</f>
        <v>0</v>
      </c>
      <c r="K50" s="645"/>
    </row>
    <row r="51" spans="4:11" x14ac:dyDescent="0.3">
      <c r="E51" s="646" t="s">
        <v>642</v>
      </c>
      <c r="F51" s="647"/>
      <c r="G51" s="647"/>
      <c r="H51" s="647"/>
      <c r="I51" s="647"/>
      <c r="J51" s="645"/>
      <c r="K51" s="645"/>
    </row>
    <row r="52" spans="4:11" ht="19.350000000000001" customHeight="1" x14ac:dyDescent="0.3">
      <c r="D52" s="639"/>
    </row>
  </sheetData>
  <autoFilter ref="A11:D32" xr:uid="{00000000-0009-0000-0000-00000C000000}"/>
  <mergeCells count="2">
    <mergeCell ref="DC2:DD2"/>
    <mergeCell ref="CS8:DD9"/>
  </mergeCells>
  <conditionalFormatting sqref="E9:CP9 E36:CP36">
    <cfRule type="expression" dxfId="3" priority="3" stopIfTrue="1">
      <formula>IF(WEEKDAY(E9)=1,TRUE,FALSE)</formula>
    </cfRule>
    <cfRule type="expression" dxfId="2" priority="4" stopIfTrue="1">
      <formula>IF(WEEKDAY(E9)=7,TRUE,FALSE)</formula>
    </cfRule>
  </conditionalFormatting>
  <conditionalFormatting sqref="E12:CP31">
    <cfRule type="cellIs" dxfId="1" priority="1" operator="greaterThan">
      <formula>0</formula>
    </cfRule>
  </conditionalFormatting>
  <conditionalFormatting sqref="AG33:CP34 E34:AF34">
    <cfRule type="cellIs" dxfId="0" priority="2" operator="greaterThan">
      <formula>0</formula>
    </cfRule>
  </conditionalFormatting>
  <printOptions horizontalCentered="1"/>
  <pageMargins left="0.70866141732283472" right="0.70866141732283472" top="0.74803149606299213" bottom="0.74803149606299213" header="0.31496062992125984" footer="0.31496062992125984"/>
  <pageSetup paperSize="9" scale="50" orientation="landscape" r:id="rId1"/>
  <colBreaks count="1" manualBreakCount="1">
    <brk id="108" min="7" max="28" man="1"/>
  </colBreaks>
  <drawing r:id="rId2"/>
  <legacyDrawing r:id="rId3"/>
  <oleObjects>
    <mc:AlternateContent xmlns:mc="http://schemas.openxmlformats.org/markup-compatibility/2006">
      <mc:Choice Requires="x14">
        <oleObject progId="CorelDRAW.Graphic.13" shapeId="219137" r:id="rId4">
          <objectPr defaultSize="0" autoPict="0" r:id="rId5">
            <anchor moveWithCells="1" sizeWithCells="1">
              <from>
                <xdr:col>1</xdr:col>
                <xdr:colOff>7620</xdr:colOff>
                <xdr:row>7</xdr:row>
                <xdr:rowOff>236220</xdr:rowOff>
              </from>
              <to>
                <xdr:col>1</xdr:col>
                <xdr:colOff>1950720</xdr:colOff>
                <xdr:row>8</xdr:row>
                <xdr:rowOff>251460</xdr:rowOff>
              </to>
            </anchor>
          </objectPr>
        </oleObject>
      </mc:Choice>
      <mc:Fallback>
        <oleObject progId="CorelDRAW.Graphic.13" shapeId="219137"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38"/>
  <sheetViews>
    <sheetView showGridLines="0" topLeftCell="A4" workbookViewId="0">
      <selection activeCell="I16" sqref="I16"/>
    </sheetView>
  </sheetViews>
  <sheetFormatPr defaultRowHeight="13.2" x14ac:dyDescent="0.25"/>
  <cols>
    <col min="2" max="2" width="36" customWidth="1"/>
    <col min="4" max="4" width="22.109375" bestFit="1" customWidth="1"/>
    <col min="6" max="6" width="11.6640625" customWidth="1"/>
    <col min="7" max="7" width="17.44140625" customWidth="1"/>
    <col min="9" max="9" width="12.109375" bestFit="1" customWidth="1"/>
    <col min="10" max="10" width="53.33203125" bestFit="1" customWidth="1"/>
    <col min="258" max="258" width="36" customWidth="1"/>
    <col min="260" max="260" width="22.109375" bestFit="1" customWidth="1"/>
    <col min="262" max="262" width="11.6640625" customWidth="1"/>
    <col min="263" max="263" width="17.44140625" customWidth="1"/>
    <col min="265" max="265" width="12.109375" bestFit="1" customWidth="1"/>
    <col min="266" max="266" width="53.33203125" bestFit="1" customWidth="1"/>
    <col min="514" max="514" width="36" customWidth="1"/>
    <col min="516" max="516" width="22.109375" bestFit="1" customWidth="1"/>
    <col min="518" max="518" width="11.6640625" customWidth="1"/>
    <col min="519" max="519" width="17.44140625" customWidth="1"/>
    <col min="521" max="521" width="12.109375" bestFit="1" customWidth="1"/>
    <col min="522" max="522" width="53.33203125" bestFit="1" customWidth="1"/>
    <col min="770" max="770" width="36" customWidth="1"/>
    <col min="772" max="772" width="22.109375" bestFit="1" customWidth="1"/>
    <col min="774" max="774" width="11.6640625" customWidth="1"/>
    <col min="775" max="775" width="17.44140625" customWidth="1"/>
    <col min="777" max="777" width="12.109375" bestFit="1" customWidth="1"/>
    <col min="778" max="778" width="53.33203125" bestFit="1" customWidth="1"/>
    <col min="1026" max="1026" width="36" customWidth="1"/>
    <col min="1028" max="1028" width="22.109375" bestFit="1" customWidth="1"/>
    <col min="1030" max="1030" width="11.6640625" customWidth="1"/>
    <col min="1031" max="1031" width="17.44140625" customWidth="1"/>
    <col min="1033" max="1033" width="12.109375" bestFit="1" customWidth="1"/>
    <col min="1034" max="1034" width="53.33203125" bestFit="1" customWidth="1"/>
    <col min="1282" max="1282" width="36" customWidth="1"/>
    <col min="1284" max="1284" width="22.109375" bestFit="1" customWidth="1"/>
    <col min="1286" max="1286" width="11.6640625" customWidth="1"/>
    <col min="1287" max="1287" width="17.44140625" customWidth="1"/>
    <col min="1289" max="1289" width="12.109375" bestFit="1" customWidth="1"/>
    <col min="1290" max="1290" width="53.33203125" bestFit="1" customWidth="1"/>
    <col min="1538" max="1538" width="36" customWidth="1"/>
    <col min="1540" max="1540" width="22.109375" bestFit="1" customWidth="1"/>
    <col min="1542" max="1542" width="11.6640625" customWidth="1"/>
    <col min="1543" max="1543" width="17.44140625" customWidth="1"/>
    <col min="1545" max="1545" width="12.109375" bestFit="1" customWidth="1"/>
    <col min="1546" max="1546" width="53.33203125" bestFit="1" customWidth="1"/>
    <col min="1794" max="1794" width="36" customWidth="1"/>
    <col min="1796" max="1796" width="22.109375" bestFit="1" customWidth="1"/>
    <col min="1798" max="1798" width="11.6640625" customWidth="1"/>
    <col min="1799" max="1799" width="17.44140625" customWidth="1"/>
    <col min="1801" max="1801" width="12.109375" bestFit="1" customWidth="1"/>
    <col min="1802" max="1802" width="53.33203125" bestFit="1" customWidth="1"/>
    <col min="2050" max="2050" width="36" customWidth="1"/>
    <col min="2052" max="2052" width="22.109375" bestFit="1" customWidth="1"/>
    <col min="2054" max="2054" width="11.6640625" customWidth="1"/>
    <col min="2055" max="2055" width="17.44140625" customWidth="1"/>
    <col min="2057" max="2057" width="12.109375" bestFit="1" customWidth="1"/>
    <col min="2058" max="2058" width="53.33203125" bestFit="1" customWidth="1"/>
    <col min="2306" max="2306" width="36" customWidth="1"/>
    <col min="2308" max="2308" width="22.109375" bestFit="1" customWidth="1"/>
    <col min="2310" max="2310" width="11.6640625" customWidth="1"/>
    <col min="2311" max="2311" width="17.44140625" customWidth="1"/>
    <col min="2313" max="2313" width="12.109375" bestFit="1" customWidth="1"/>
    <col min="2314" max="2314" width="53.33203125" bestFit="1" customWidth="1"/>
    <col min="2562" max="2562" width="36" customWidth="1"/>
    <col min="2564" max="2564" width="22.109375" bestFit="1" customWidth="1"/>
    <col min="2566" max="2566" width="11.6640625" customWidth="1"/>
    <col min="2567" max="2567" width="17.44140625" customWidth="1"/>
    <col min="2569" max="2569" width="12.109375" bestFit="1" customWidth="1"/>
    <col min="2570" max="2570" width="53.33203125" bestFit="1" customWidth="1"/>
    <col min="2818" max="2818" width="36" customWidth="1"/>
    <col min="2820" max="2820" width="22.109375" bestFit="1" customWidth="1"/>
    <col min="2822" max="2822" width="11.6640625" customWidth="1"/>
    <col min="2823" max="2823" width="17.44140625" customWidth="1"/>
    <col min="2825" max="2825" width="12.109375" bestFit="1" customWidth="1"/>
    <col min="2826" max="2826" width="53.33203125" bestFit="1" customWidth="1"/>
    <col min="3074" max="3074" width="36" customWidth="1"/>
    <col min="3076" max="3076" width="22.109375" bestFit="1" customWidth="1"/>
    <col min="3078" max="3078" width="11.6640625" customWidth="1"/>
    <col min="3079" max="3079" width="17.44140625" customWidth="1"/>
    <col min="3081" max="3081" width="12.109375" bestFit="1" customWidth="1"/>
    <col min="3082" max="3082" width="53.33203125" bestFit="1" customWidth="1"/>
    <col min="3330" max="3330" width="36" customWidth="1"/>
    <col min="3332" max="3332" width="22.109375" bestFit="1" customWidth="1"/>
    <col min="3334" max="3334" width="11.6640625" customWidth="1"/>
    <col min="3335" max="3335" width="17.44140625" customWidth="1"/>
    <col min="3337" max="3337" width="12.109375" bestFit="1" customWidth="1"/>
    <col min="3338" max="3338" width="53.33203125" bestFit="1" customWidth="1"/>
    <col min="3586" max="3586" width="36" customWidth="1"/>
    <col min="3588" max="3588" width="22.109375" bestFit="1" customWidth="1"/>
    <col min="3590" max="3590" width="11.6640625" customWidth="1"/>
    <col min="3591" max="3591" width="17.44140625" customWidth="1"/>
    <col min="3593" max="3593" width="12.109375" bestFit="1" customWidth="1"/>
    <col min="3594" max="3594" width="53.33203125" bestFit="1" customWidth="1"/>
    <col min="3842" max="3842" width="36" customWidth="1"/>
    <col min="3844" max="3844" width="22.109375" bestFit="1" customWidth="1"/>
    <col min="3846" max="3846" width="11.6640625" customWidth="1"/>
    <col min="3847" max="3847" width="17.44140625" customWidth="1"/>
    <col min="3849" max="3849" width="12.109375" bestFit="1" customWidth="1"/>
    <col min="3850" max="3850" width="53.33203125" bestFit="1" customWidth="1"/>
    <col min="4098" max="4098" width="36" customWidth="1"/>
    <col min="4100" max="4100" width="22.109375" bestFit="1" customWidth="1"/>
    <col min="4102" max="4102" width="11.6640625" customWidth="1"/>
    <col min="4103" max="4103" width="17.44140625" customWidth="1"/>
    <col min="4105" max="4105" width="12.109375" bestFit="1" customWidth="1"/>
    <col min="4106" max="4106" width="53.33203125" bestFit="1" customWidth="1"/>
    <col min="4354" max="4354" width="36" customWidth="1"/>
    <col min="4356" max="4356" width="22.109375" bestFit="1" customWidth="1"/>
    <col min="4358" max="4358" width="11.6640625" customWidth="1"/>
    <col min="4359" max="4359" width="17.44140625" customWidth="1"/>
    <col min="4361" max="4361" width="12.109375" bestFit="1" customWidth="1"/>
    <col min="4362" max="4362" width="53.33203125" bestFit="1" customWidth="1"/>
    <col min="4610" max="4610" width="36" customWidth="1"/>
    <col min="4612" max="4612" width="22.109375" bestFit="1" customWidth="1"/>
    <col min="4614" max="4614" width="11.6640625" customWidth="1"/>
    <col min="4615" max="4615" width="17.44140625" customWidth="1"/>
    <col min="4617" max="4617" width="12.109375" bestFit="1" customWidth="1"/>
    <col min="4618" max="4618" width="53.33203125" bestFit="1" customWidth="1"/>
    <col min="4866" max="4866" width="36" customWidth="1"/>
    <col min="4868" max="4868" width="22.109375" bestFit="1" customWidth="1"/>
    <col min="4870" max="4870" width="11.6640625" customWidth="1"/>
    <col min="4871" max="4871" width="17.44140625" customWidth="1"/>
    <col min="4873" max="4873" width="12.109375" bestFit="1" customWidth="1"/>
    <col min="4874" max="4874" width="53.33203125" bestFit="1" customWidth="1"/>
    <col min="5122" max="5122" width="36" customWidth="1"/>
    <col min="5124" max="5124" width="22.109375" bestFit="1" customWidth="1"/>
    <col min="5126" max="5126" width="11.6640625" customWidth="1"/>
    <col min="5127" max="5127" width="17.44140625" customWidth="1"/>
    <col min="5129" max="5129" width="12.109375" bestFit="1" customWidth="1"/>
    <col min="5130" max="5130" width="53.33203125" bestFit="1" customWidth="1"/>
    <col min="5378" max="5378" width="36" customWidth="1"/>
    <col min="5380" max="5380" width="22.109375" bestFit="1" customWidth="1"/>
    <col min="5382" max="5382" width="11.6640625" customWidth="1"/>
    <col min="5383" max="5383" width="17.44140625" customWidth="1"/>
    <col min="5385" max="5385" width="12.109375" bestFit="1" customWidth="1"/>
    <col min="5386" max="5386" width="53.33203125" bestFit="1" customWidth="1"/>
    <col min="5634" max="5634" width="36" customWidth="1"/>
    <col min="5636" max="5636" width="22.109375" bestFit="1" customWidth="1"/>
    <col min="5638" max="5638" width="11.6640625" customWidth="1"/>
    <col min="5639" max="5639" width="17.44140625" customWidth="1"/>
    <col min="5641" max="5641" width="12.109375" bestFit="1" customWidth="1"/>
    <col min="5642" max="5642" width="53.33203125" bestFit="1" customWidth="1"/>
    <col min="5890" max="5890" width="36" customWidth="1"/>
    <col min="5892" max="5892" width="22.109375" bestFit="1" customWidth="1"/>
    <col min="5894" max="5894" width="11.6640625" customWidth="1"/>
    <col min="5895" max="5895" width="17.44140625" customWidth="1"/>
    <col min="5897" max="5897" width="12.109375" bestFit="1" customWidth="1"/>
    <col min="5898" max="5898" width="53.33203125" bestFit="1" customWidth="1"/>
    <col min="6146" max="6146" width="36" customWidth="1"/>
    <col min="6148" max="6148" width="22.109375" bestFit="1" customWidth="1"/>
    <col min="6150" max="6150" width="11.6640625" customWidth="1"/>
    <col min="6151" max="6151" width="17.44140625" customWidth="1"/>
    <col min="6153" max="6153" width="12.109375" bestFit="1" customWidth="1"/>
    <col min="6154" max="6154" width="53.33203125" bestFit="1" customWidth="1"/>
    <col min="6402" max="6402" width="36" customWidth="1"/>
    <col min="6404" max="6404" width="22.109375" bestFit="1" customWidth="1"/>
    <col min="6406" max="6406" width="11.6640625" customWidth="1"/>
    <col min="6407" max="6407" width="17.44140625" customWidth="1"/>
    <col min="6409" max="6409" width="12.109375" bestFit="1" customWidth="1"/>
    <col min="6410" max="6410" width="53.33203125" bestFit="1" customWidth="1"/>
    <col min="6658" max="6658" width="36" customWidth="1"/>
    <col min="6660" max="6660" width="22.109375" bestFit="1" customWidth="1"/>
    <col min="6662" max="6662" width="11.6640625" customWidth="1"/>
    <col min="6663" max="6663" width="17.44140625" customWidth="1"/>
    <col min="6665" max="6665" width="12.109375" bestFit="1" customWidth="1"/>
    <col min="6666" max="6666" width="53.33203125" bestFit="1" customWidth="1"/>
    <col min="6914" max="6914" width="36" customWidth="1"/>
    <col min="6916" max="6916" width="22.109375" bestFit="1" customWidth="1"/>
    <col min="6918" max="6918" width="11.6640625" customWidth="1"/>
    <col min="6919" max="6919" width="17.44140625" customWidth="1"/>
    <col min="6921" max="6921" width="12.109375" bestFit="1" customWidth="1"/>
    <col min="6922" max="6922" width="53.33203125" bestFit="1" customWidth="1"/>
    <col min="7170" max="7170" width="36" customWidth="1"/>
    <col min="7172" max="7172" width="22.109375" bestFit="1" customWidth="1"/>
    <col min="7174" max="7174" width="11.6640625" customWidth="1"/>
    <col min="7175" max="7175" width="17.44140625" customWidth="1"/>
    <col min="7177" max="7177" width="12.109375" bestFit="1" customWidth="1"/>
    <col min="7178" max="7178" width="53.33203125" bestFit="1" customWidth="1"/>
    <col min="7426" max="7426" width="36" customWidth="1"/>
    <col min="7428" max="7428" width="22.109375" bestFit="1" customWidth="1"/>
    <col min="7430" max="7430" width="11.6640625" customWidth="1"/>
    <col min="7431" max="7431" width="17.44140625" customWidth="1"/>
    <col min="7433" max="7433" width="12.109375" bestFit="1" customWidth="1"/>
    <col min="7434" max="7434" width="53.33203125" bestFit="1" customWidth="1"/>
    <col min="7682" max="7682" width="36" customWidth="1"/>
    <col min="7684" max="7684" width="22.109375" bestFit="1" customWidth="1"/>
    <col min="7686" max="7686" width="11.6640625" customWidth="1"/>
    <col min="7687" max="7687" width="17.44140625" customWidth="1"/>
    <col min="7689" max="7689" width="12.109375" bestFit="1" customWidth="1"/>
    <col min="7690" max="7690" width="53.33203125" bestFit="1" customWidth="1"/>
    <col min="7938" max="7938" width="36" customWidth="1"/>
    <col min="7940" max="7940" width="22.109375" bestFit="1" customWidth="1"/>
    <col min="7942" max="7942" width="11.6640625" customWidth="1"/>
    <col min="7943" max="7943" width="17.44140625" customWidth="1"/>
    <col min="7945" max="7945" width="12.109375" bestFit="1" customWidth="1"/>
    <col min="7946" max="7946" width="53.33203125" bestFit="1" customWidth="1"/>
    <col min="8194" max="8194" width="36" customWidth="1"/>
    <col min="8196" max="8196" width="22.109375" bestFit="1" customWidth="1"/>
    <col min="8198" max="8198" width="11.6640625" customWidth="1"/>
    <col min="8199" max="8199" width="17.44140625" customWidth="1"/>
    <col min="8201" max="8201" width="12.109375" bestFit="1" customWidth="1"/>
    <col min="8202" max="8202" width="53.33203125" bestFit="1" customWidth="1"/>
    <col min="8450" max="8450" width="36" customWidth="1"/>
    <col min="8452" max="8452" width="22.109375" bestFit="1" customWidth="1"/>
    <col min="8454" max="8454" width="11.6640625" customWidth="1"/>
    <col min="8455" max="8455" width="17.44140625" customWidth="1"/>
    <col min="8457" max="8457" width="12.109375" bestFit="1" customWidth="1"/>
    <col min="8458" max="8458" width="53.33203125" bestFit="1" customWidth="1"/>
    <col min="8706" max="8706" width="36" customWidth="1"/>
    <col min="8708" max="8708" width="22.109375" bestFit="1" customWidth="1"/>
    <col min="8710" max="8710" width="11.6640625" customWidth="1"/>
    <col min="8711" max="8711" width="17.44140625" customWidth="1"/>
    <col min="8713" max="8713" width="12.109375" bestFit="1" customWidth="1"/>
    <col min="8714" max="8714" width="53.33203125" bestFit="1" customWidth="1"/>
    <col min="8962" max="8962" width="36" customWidth="1"/>
    <col min="8964" max="8964" width="22.109375" bestFit="1" customWidth="1"/>
    <col min="8966" max="8966" width="11.6640625" customWidth="1"/>
    <col min="8967" max="8967" width="17.44140625" customWidth="1"/>
    <col min="8969" max="8969" width="12.109375" bestFit="1" customWidth="1"/>
    <col min="8970" max="8970" width="53.33203125" bestFit="1" customWidth="1"/>
    <col min="9218" max="9218" width="36" customWidth="1"/>
    <col min="9220" max="9220" width="22.109375" bestFit="1" customWidth="1"/>
    <col min="9222" max="9222" width="11.6640625" customWidth="1"/>
    <col min="9223" max="9223" width="17.44140625" customWidth="1"/>
    <col min="9225" max="9225" width="12.109375" bestFit="1" customWidth="1"/>
    <col min="9226" max="9226" width="53.33203125" bestFit="1" customWidth="1"/>
    <col min="9474" max="9474" width="36" customWidth="1"/>
    <col min="9476" max="9476" width="22.109375" bestFit="1" customWidth="1"/>
    <col min="9478" max="9478" width="11.6640625" customWidth="1"/>
    <col min="9479" max="9479" width="17.44140625" customWidth="1"/>
    <col min="9481" max="9481" width="12.109375" bestFit="1" customWidth="1"/>
    <col min="9482" max="9482" width="53.33203125" bestFit="1" customWidth="1"/>
    <col min="9730" max="9730" width="36" customWidth="1"/>
    <col min="9732" max="9732" width="22.109375" bestFit="1" customWidth="1"/>
    <col min="9734" max="9734" width="11.6640625" customWidth="1"/>
    <col min="9735" max="9735" width="17.44140625" customWidth="1"/>
    <col min="9737" max="9737" width="12.109375" bestFit="1" customWidth="1"/>
    <col min="9738" max="9738" width="53.33203125" bestFit="1" customWidth="1"/>
    <col min="9986" max="9986" width="36" customWidth="1"/>
    <col min="9988" max="9988" width="22.109375" bestFit="1" customWidth="1"/>
    <col min="9990" max="9990" width="11.6640625" customWidth="1"/>
    <col min="9991" max="9991" width="17.44140625" customWidth="1"/>
    <col min="9993" max="9993" width="12.109375" bestFit="1" customWidth="1"/>
    <col min="9994" max="9994" width="53.33203125" bestFit="1" customWidth="1"/>
    <col min="10242" max="10242" width="36" customWidth="1"/>
    <col min="10244" max="10244" width="22.109375" bestFit="1" customWidth="1"/>
    <col min="10246" max="10246" width="11.6640625" customWidth="1"/>
    <col min="10247" max="10247" width="17.44140625" customWidth="1"/>
    <col min="10249" max="10249" width="12.109375" bestFit="1" customWidth="1"/>
    <col min="10250" max="10250" width="53.33203125" bestFit="1" customWidth="1"/>
    <col min="10498" max="10498" width="36" customWidth="1"/>
    <col min="10500" max="10500" width="22.109375" bestFit="1" customWidth="1"/>
    <col min="10502" max="10502" width="11.6640625" customWidth="1"/>
    <col min="10503" max="10503" width="17.44140625" customWidth="1"/>
    <col min="10505" max="10505" width="12.109375" bestFit="1" customWidth="1"/>
    <col min="10506" max="10506" width="53.33203125" bestFit="1" customWidth="1"/>
    <col min="10754" max="10754" width="36" customWidth="1"/>
    <col min="10756" max="10756" width="22.109375" bestFit="1" customWidth="1"/>
    <col min="10758" max="10758" width="11.6640625" customWidth="1"/>
    <col min="10759" max="10759" width="17.44140625" customWidth="1"/>
    <col min="10761" max="10761" width="12.109375" bestFit="1" customWidth="1"/>
    <col min="10762" max="10762" width="53.33203125" bestFit="1" customWidth="1"/>
    <col min="11010" max="11010" width="36" customWidth="1"/>
    <col min="11012" max="11012" width="22.109375" bestFit="1" customWidth="1"/>
    <col min="11014" max="11014" width="11.6640625" customWidth="1"/>
    <col min="11015" max="11015" width="17.44140625" customWidth="1"/>
    <col min="11017" max="11017" width="12.109375" bestFit="1" customWidth="1"/>
    <col min="11018" max="11018" width="53.33203125" bestFit="1" customWidth="1"/>
    <col min="11266" max="11266" width="36" customWidth="1"/>
    <col min="11268" max="11268" width="22.109375" bestFit="1" customWidth="1"/>
    <col min="11270" max="11270" width="11.6640625" customWidth="1"/>
    <col min="11271" max="11271" width="17.44140625" customWidth="1"/>
    <col min="11273" max="11273" width="12.109375" bestFit="1" customWidth="1"/>
    <col min="11274" max="11274" width="53.33203125" bestFit="1" customWidth="1"/>
    <col min="11522" max="11522" width="36" customWidth="1"/>
    <col min="11524" max="11524" width="22.109375" bestFit="1" customWidth="1"/>
    <col min="11526" max="11526" width="11.6640625" customWidth="1"/>
    <col min="11527" max="11527" width="17.44140625" customWidth="1"/>
    <col min="11529" max="11529" width="12.109375" bestFit="1" customWidth="1"/>
    <col min="11530" max="11530" width="53.33203125" bestFit="1" customWidth="1"/>
    <col min="11778" max="11778" width="36" customWidth="1"/>
    <col min="11780" max="11780" width="22.109375" bestFit="1" customWidth="1"/>
    <col min="11782" max="11782" width="11.6640625" customWidth="1"/>
    <col min="11783" max="11783" width="17.44140625" customWidth="1"/>
    <col min="11785" max="11785" width="12.109375" bestFit="1" customWidth="1"/>
    <col min="11786" max="11786" width="53.33203125" bestFit="1" customWidth="1"/>
    <col min="12034" max="12034" width="36" customWidth="1"/>
    <col min="12036" max="12036" width="22.109375" bestFit="1" customWidth="1"/>
    <col min="12038" max="12038" width="11.6640625" customWidth="1"/>
    <col min="12039" max="12039" width="17.44140625" customWidth="1"/>
    <col min="12041" max="12041" width="12.109375" bestFit="1" customWidth="1"/>
    <col min="12042" max="12042" width="53.33203125" bestFit="1" customWidth="1"/>
    <col min="12290" max="12290" width="36" customWidth="1"/>
    <col min="12292" max="12292" width="22.109375" bestFit="1" customWidth="1"/>
    <col min="12294" max="12294" width="11.6640625" customWidth="1"/>
    <col min="12295" max="12295" width="17.44140625" customWidth="1"/>
    <col min="12297" max="12297" width="12.109375" bestFit="1" customWidth="1"/>
    <col min="12298" max="12298" width="53.33203125" bestFit="1" customWidth="1"/>
    <col min="12546" max="12546" width="36" customWidth="1"/>
    <col min="12548" max="12548" width="22.109375" bestFit="1" customWidth="1"/>
    <col min="12550" max="12550" width="11.6640625" customWidth="1"/>
    <col min="12551" max="12551" width="17.44140625" customWidth="1"/>
    <col min="12553" max="12553" width="12.109375" bestFit="1" customWidth="1"/>
    <col min="12554" max="12554" width="53.33203125" bestFit="1" customWidth="1"/>
    <col min="12802" max="12802" width="36" customWidth="1"/>
    <col min="12804" max="12804" width="22.109375" bestFit="1" customWidth="1"/>
    <col min="12806" max="12806" width="11.6640625" customWidth="1"/>
    <col min="12807" max="12807" width="17.44140625" customWidth="1"/>
    <col min="12809" max="12809" width="12.109375" bestFit="1" customWidth="1"/>
    <col min="12810" max="12810" width="53.33203125" bestFit="1" customWidth="1"/>
    <col min="13058" max="13058" width="36" customWidth="1"/>
    <col min="13060" max="13060" width="22.109375" bestFit="1" customWidth="1"/>
    <col min="13062" max="13062" width="11.6640625" customWidth="1"/>
    <col min="13063" max="13063" width="17.44140625" customWidth="1"/>
    <col min="13065" max="13065" width="12.109375" bestFit="1" customWidth="1"/>
    <col min="13066" max="13066" width="53.33203125" bestFit="1" customWidth="1"/>
    <col min="13314" max="13314" width="36" customWidth="1"/>
    <col min="13316" max="13316" width="22.109375" bestFit="1" customWidth="1"/>
    <col min="13318" max="13318" width="11.6640625" customWidth="1"/>
    <col min="13319" max="13319" width="17.44140625" customWidth="1"/>
    <col min="13321" max="13321" width="12.109375" bestFit="1" customWidth="1"/>
    <col min="13322" max="13322" width="53.33203125" bestFit="1" customWidth="1"/>
    <col min="13570" max="13570" width="36" customWidth="1"/>
    <col min="13572" max="13572" width="22.109375" bestFit="1" customWidth="1"/>
    <col min="13574" max="13574" width="11.6640625" customWidth="1"/>
    <col min="13575" max="13575" width="17.44140625" customWidth="1"/>
    <col min="13577" max="13577" width="12.109375" bestFit="1" customWidth="1"/>
    <col min="13578" max="13578" width="53.33203125" bestFit="1" customWidth="1"/>
    <col min="13826" max="13826" width="36" customWidth="1"/>
    <col min="13828" max="13828" width="22.109375" bestFit="1" customWidth="1"/>
    <col min="13830" max="13830" width="11.6640625" customWidth="1"/>
    <col min="13831" max="13831" width="17.44140625" customWidth="1"/>
    <col min="13833" max="13833" width="12.109375" bestFit="1" customWidth="1"/>
    <col min="13834" max="13834" width="53.33203125" bestFit="1" customWidth="1"/>
    <col min="14082" max="14082" width="36" customWidth="1"/>
    <col min="14084" max="14084" width="22.109375" bestFit="1" customWidth="1"/>
    <col min="14086" max="14086" width="11.6640625" customWidth="1"/>
    <col min="14087" max="14087" width="17.44140625" customWidth="1"/>
    <col min="14089" max="14089" width="12.109375" bestFit="1" customWidth="1"/>
    <col min="14090" max="14090" width="53.33203125" bestFit="1" customWidth="1"/>
    <col min="14338" max="14338" width="36" customWidth="1"/>
    <col min="14340" max="14340" width="22.109375" bestFit="1" customWidth="1"/>
    <col min="14342" max="14342" width="11.6640625" customWidth="1"/>
    <col min="14343" max="14343" width="17.44140625" customWidth="1"/>
    <col min="14345" max="14345" width="12.109375" bestFit="1" customWidth="1"/>
    <col min="14346" max="14346" width="53.33203125" bestFit="1" customWidth="1"/>
    <col min="14594" max="14594" width="36" customWidth="1"/>
    <col min="14596" max="14596" width="22.109375" bestFit="1" customWidth="1"/>
    <col min="14598" max="14598" width="11.6640625" customWidth="1"/>
    <col min="14599" max="14599" width="17.44140625" customWidth="1"/>
    <col min="14601" max="14601" width="12.109375" bestFit="1" customWidth="1"/>
    <col min="14602" max="14602" width="53.33203125" bestFit="1" customWidth="1"/>
    <col min="14850" max="14850" width="36" customWidth="1"/>
    <col min="14852" max="14852" width="22.109375" bestFit="1" customWidth="1"/>
    <col min="14854" max="14854" width="11.6640625" customWidth="1"/>
    <col min="14855" max="14855" width="17.44140625" customWidth="1"/>
    <col min="14857" max="14857" width="12.109375" bestFit="1" customWidth="1"/>
    <col min="14858" max="14858" width="53.33203125" bestFit="1" customWidth="1"/>
    <col min="15106" max="15106" width="36" customWidth="1"/>
    <col min="15108" max="15108" width="22.109375" bestFit="1" customWidth="1"/>
    <col min="15110" max="15110" width="11.6640625" customWidth="1"/>
    <col min="15111" max="15111" width="17.44140625" customWidth="1"/>
    <col min="15113" max="15113" width="12.109375" bestFit="1" customWidth="1"/>
    <col min="15114" max="15114" width="53.33203125" bestFit="1" customWidth="1"/>
    <col min="15362" max="15362" width="36" customWidth="1"/>
    <col min="15364" max="15364" width="22.109375" bestFit="1" customWidth="1"/>
    <col min="15366" max="15366" width="11.6640625" customWidth="1"/>
    <col min="15367" max="15367" width="17.44140625" customWidth="1"/>
    <col min="15369" max="15369" width="12.109375" bestFit="1" customWidth="1"/>
    <col min="15370" max="15370" width="53.33203125" bestFit="1" customWidth="1"/>
    <col min="15618" max="15618" width="36" customWidth="1"/>
    <col min="15620" max="15620" width="22.109375" bestFit="1" customWidth="1"/>
    <col min="15622" max="15622" width="11.6640625" customWidth="1"/>
    <col min="15623" max="15623" width="17.44140625" customWidth="1"/>
    <col min="15625" max="15625" width="12.109375" bestFit="1" customWidth="1"/>
    <col min="15626" max="15626" width="53.33203125" bestFit="1" customWidth="1"/>
    <col min="15874" max="15874" width="36" customWidth="1"/>
    <col min="15876" max="15876" width="22.109375" bestFit="1" customWidth="1"/>
    <col min="15878" max="15878" width="11.6640625" customWidth="1"/>
    <col min="15879" max="15879" width="17.44140625" customWidth="1"/>
    <col min="15881" max="15881" width="12.109375" bestFit="1" customWidth="1"/>
    <col min="15882" max="15882" width="53.33203125" bestFit="1" customWidth="1"/>
    <col min="16130" max="16130" width="36" customWidth="1"/>
    <col min="16132" max="16132" width="22.109375" bestFit="1" customWidth="1"/>
    <col min="16134" max="16134" width="11.6640625" customWidth="1"/>
    <col min="16135" max="16135" width="17.44140625" customWidth="1"/>
    <col min="16137" max="16137" width="12.109375" bestFit="1" customWidth="1"/>
    <col min="16138" max="16138" width="53.33203125" bestFit="1" customWidth="1"/>
  </cols>
  <sheetData>
    <row r="1" spans="1:10" ht="13.8" x14ac:dyDescent="0.25">
      <c r="A1" s="1031" t="s">
        <v>873</v>
      </c>
      <c r="B1" s="1031"/>
      <c r="C1" s="1031"/>
      <c r="D1" s="1031"/>
      <c r="E1" s="1031"/>
    </row>
    <row r="2" spans="1:10" ht="13.8" x14ac:dyDescent="0.25">
      <c r="A2" s="648" t="s">
        <v>0</v>
      </c>
      <c r="B2" s="648" t="s">
        <v>49</v>
      </c>
      <c r="C2" s="648"/>
      <c r="D2" s="1032" t="s">
        <v>874</v>
      </c>
      <c r="E2" s="1032"/>
      <c r="F2" s="648" t="s">
        <v>618</v>
      </c>
      <c r="G2" s="648" t="s">
        <v>843</v>
      </c>
    </row>
    <row r="3" spans="1:10" ht="24.9" customHeight="1" x14ac:dyDescent="0.25">
      <c r="A3" s="649">
        <v>1</v>
      </c>
      <c r="B3" s="650" t="s">
        <v>875</v>
      </c>
      <c r="C3" s="651" t="s">
        <v>876</v>
      </c>
      <c r="D3" s="652">
        <v>0.12</v>
      </c>
      <c r="E3" s="651" t="s">
        <v>876</v>
      </c>
      <c r="F3" s="653"/>
      <c r="G3" s="653"/>
    </row>
    <row r="4" spans="1:10" ht="24.9" customHeight="1" x14ac:dyDescent="0.25">
      <c r="A4" s="649">
        <v>4</v>
      </c>
      <c r="B4" s="650" t="s">
        <v>877</v>
      </c>
      <c r="C4" s="651" t="s">
        <v>878</v>
      </c>
      <c r="D4" s="652">
        <v>68.5</v>
      </c>
      <c r="E4" s="654" t="s">
        <v>878</v>
      </c>
      <c r="F4" s="653"/>
      <c r="G4" s="653"/>
    </row>
    <row r="5" spans="1:10" ht="24.9" customHeight="1" x14ac:dyDescent="0.25">
      <c r="A5" s="649">
        <v>5</v>
      </c>
      <c r="B5" s="650" t="s">
        <v>879</v>
      </c>
      <c r="C5" s="651" t="s">
        <v>878</v>
      </c>
      <c r="D5" s="652">
        <f>28.4*1.05</f>
        <v>29.82</v>
      </c>
      <c r="E5" s="654" t="s">
        <v>878</v>
      </c>
      <c r="F5" s="655">
        <v>1.9</v>
      </c>
      <c r="G5" s="656">
        <f>D5*F5</f>
        <v>56.658000000000001</v>
      </c>
      <c r="H5" t="s">
        <v>880</v>
      </c>
      <c r="I5" s="674">
        <v>215.58</v>
      </c>
    </row>
    <row r="6" spans="1:10" ht="24.9" customHeight="1" x14ac:dyDescent="0.25">
      <c r="A6" s="649">
        <v>6</v>
      </c>
      <c r="B6" s="650" t="s">
        <v>881</v>
      </c>
      <c r="C6" s="651" t="s">
        <v>878</v>
      </c>
      <c r="D6" s="652">
        <f>28.4*1.05</f>
        <v>29.82</v>
      </c>
      <c r="E6" s="654" t="s">
        <v>878</v>
      </c>
      <c r="F6" s="38">
        <v>2.8</v>
      </c>
      <c r="G6" s="658">
        <f>D6*F6</f>
        <v>83.495999999999995</v>
      </c>
      <c r="H6" t="s">
        <v>880</v>
      </c>
      <c r="I6" s="657">
        <f>G6/151.2</f>
        <v>0.55222222222222228</v>
      </c>
      <c r="J6" s="659"/>
    </row>
    <row r="7" spans="1:10" ht="24.9" customHeight="1" x14ac:dyDescent="0.25">
      <c r="A7" s="649">
        <v>7</v>
      </c>
      <c r="B7" s="650" t="s">
        <v>882</v>
      </c>
      <c r="C7" s="651" t="s">
        <v>876</v>
      </c>
      <c r="D7" s="652">
        <v>0.5</v>
      </c>
      <c r="E7" s="654" t="s">
        <v>876</v>
      </c>
      <c r="F7" s="38"/>
      <c r="G7" s="55"/>
    </row>
    <row r="8" spans="1:10" ht="24.9" customHeight="1" x14ac:dyDescent="0.25">
      <c r="A8" s="649">
        <v>9</v>
      </c>
      <c r="B8" s="650" t="s">
        <v>883</v>
      </c>
      <c r="C8" s="651" t="s">
        <v>878</v>
      </c>
      <c r="D8" s="652">
        <f>(2787.75/75)*1.05</f>
        <v>39.028500000000001</v>
      </c>
      <c r="E8" s="654" t="s">
        <v>878</v>
      </c>
      <c r="F8" s="38">
        <f>57/2</f>
        <v>28.5</v>
      </c>
      <c r="G8" s="658">
        <f>D8/F8</f>
        <v>1.3694210526315791</v>
      </c>
      <c r="H8" t="s">
        <v>884</v>
      </c>
    </row>
    <row r="9" spans="1:10" ht="24.9" customHeight="1" x14ac:dyDescent="0.25">
      <c r="A9" s="649">
        <v>10</v>
      </c>
      <c r="B9" s="650" t="s">
        <v>885</v>
      </c>
      <c r="C9" s="651" t="s">
        <v>876</v>
      </c>
      <c r="D9" s="652">
        <f>36*1.05</f>
        <v>37.800000000000004</v>
      </c>
      <c r="E9" s="654" t="s">
        <v>876</v>
      </c>
      <c r="F9" s="38">
        <v>4</v>
      </c>
      <c r="G9" s="658">
        <f>D9*F9</f>
        <v>151.20000000000002</v>
      </c>
    </row>
    <row r="10" spans="1:10" ht="24.9" customHeight="1" x14ac:dyDescent="0.25">
      <c r="A10" s="649"/>
      <c r="B10" s="650" t="s">
        <v>886</v>
      </c>
      <c r="C10" s="651" t="s">
        <v>887</v>
      </c>
      <c r="D10" s="652">
        <f>127.62*1.05</f>
        <v>134.001</v>
      </c>
      <c r="E10" s="654" t="s">
        <v>887</v>
      </c>
      <c r="F10" s="38"/>
      <c r="G10" s="658"/>
    </row>
    <row r="11" spans="1:10" ht="24.9" customHeight="1" x14ac:dyDescent="0.25">
      <c r="A11" s="649">
        <v>11</v>
      </c>
      <c r="B11" s="650" t="s">
        <v>888</v>
      </c>
      <c r="C11" s="651" t="s">
        <v>876</v>
      </c>
      <c r="D11" s="652">
        <v>8</v>
      </c>
      <c r="E11" s="654" t="s">
        <v>876</v>
      </c>
      <c r="F11" s="55"/>
      <c r="G11" s="55"/>
      <c r="J11" s="660"/>
    </row>
    <row r="12" spans="1:10" ht="24.9" customHeight="1" x14ac:dyDescent="0.25">
      <c r="A12" s="649">
        <v>12</v>
      </c>
      <c r="B12" s="650" t="s">
        <v>889</v>
      </c>
      <c r="C12" s="651" t="s">
        <v>876</v>
      </c>
      <c r="D12" s="652">
        <v>33</v>
      </c>
      <c r="E12" s="654" t="s">
        <v>876</v>
      </c>
      <c r="F12" s="55"/>
      <c r="G12" s="658"/>
    </row>
    <row r="13" spans="1:10" ht="24.9" customHeight="1" x14ac:dyDescent="0.25">
      <c r="A13" s="649">
        <v>13</v>
      </c>
      <c r="B13" s="650" t="s">
        <v>890</v>
      </c>
      <c r="C13" s="651" t="s">
        <v>876</v>
      </c>
      <c r="D13" s="652">
        <f>46.48*1.065</f>
        <v>49.501199999999997</v>
      </c>
      <c r="E13" s="654" t="s">
        <v>822</v>
      </c>
      <c r="F13" s="55"/>
      <c r="G13" s="55"/>
    </row>
    <row r="14" spans="1:10" ht="24.9" customHeight="1" x14ac:dyDescent="0.25">
      <c r="A14" s="649">
        <v>14</v>
      </c>
      <c r="B14" s="650" t="s">
        <v>891</v>
      </c>
      <c r="C14" s="651" t="s">
        <v>876</v>
      </c>
      <c r="D14" s="652">
        <f>173.7+391</f>
        <v>564.70000000000005</v>
      </c>
      <c r="E14" s="654" t="s">
        <v>822</v>
      </c>
      <c r="F14" s="55"/>
      <c r="G14" s="55"/>
    </row>
    <row r="15" spans="1:10" ht="24.9" customHeight="1" x14ac:dyDescent="0.25">
      <c r="A15" s="649">
        <v>15</v>
      </c>
      <c r="B15" s="650" t="s">
        <v>933</v>
      </c>
      <c r="C15" s="651" t="s">
        <v>876</v>
      </c>
      <c r="D15" s="652">
        <f>D14*2</f>
        <v>1129.4000000000001</v>
      </c>
      <c r="E15" s="654" t="s">
        <v>822</v>
      </c>
      <c r="F15" s="55"/>
      <c r="G15" s="55"/>
    </row>
    <row r="16" spans="1:10" ht="24.9" customHeight="1" x14ac:dyDescent="0.25">
      <c r="A16" s="649">
        <v>16</v>
      </c>
      <c r="B16" s="650" t="s">
        <v>892</v>
      </c>
      <c r="C16" s="654" t="s">
        <v>876</v>
      </c>
      <c r="D16" s="652">
        <f>(61.26*1.065)</f>
        <v>65.241900000000001</v>
      </c>
      <c r="E16" s="654" t="s">
        <v>822</v>
      </c>
      <c r="F16" s="55" t="s">
        <v>893</v>
      </c>
      <c r="G16" s="55"/>
      <c r="I16" s="675">
        <v>149.54</v>
      </c>
    </row>
    <row r="17" spans="2:10" ht="13.8" x14ac:dyDescent="0.25">
      <c r="B17" t="s">
        <v>894</v>
      </c>
      <c r="C17" s="654" t="s">
        <v>876</v>
      </c>
      <c r="D17" s="652">
        <f>18.08*1.065</f>
        <v>19.255199999999999</v>
      </c>
      <c r="E17" s="661" t="s">
        <v>895</v>
      </c>
    </row>
    <row r="18" spans="2:10" ht="13.8" x14ac:dyDescent="0.25">
      <c r="B18" t="s">
        <v>896</v>
      </c>
      <c r="C18" s="654" t="s">
        <v>876</v>
      </c>
      <c r="D18" s="652">
        <f>20.63*1.065</f>
        <v>21.970949999999998</v>
      </c>
      <c r="E18" s="661" t="s">
        <v>895</v>
      </c>
    </row>
    <row r="19" spans="2:10" ht="13.8" x14ac:dyDescent="0.25">
      <c r="B19" t="s">
        <v>897</v>
      </c>
      <c r="C19" s="654" t="s">
        <v>876</v>
      </c>
      <c r="D19" s="652">
        <f>41*1.065</f>
        <v>43.664999999999999</v>
      </c>
      <c r="E19" s="661" t="s">
        <v>895</v>
      </c>
      <c r="J19" t="s">
        <v>896</v>
      </c>
    </row>
    <row r="20" spans="2:10" ht="13.8" x14ac:dyDescent="0.25">
      <c r="B20" t="s">
        <v>898</v>
      </c>
      <c r="C20" s="654" t="s">
        <v>876</v>
      </c>
      <c r="D20" s="652">
        <f>99.59*1.065</f>
        <v>106.06335</v>
      </c>
      <c r="E20" s="661" t="s">
        <v>895</v>
      </c>
      <c r="J20" t="s">
        <v>899</v>
      </c>
    </row>
    <row r="21" spans="2:10" ht="13.8" x14ac:dyDescent="0.25">
      <c r="B21" t="s">
        <v>900</v>
      </c>
      <c r="C21" s="654" t="s">
        <v>876</v>
      </c>
      <c r="D21" s="652">
        <f>170.8*1.065</f>
        <v>181.90200000000002</v>
      </c>
      <c r="E21" s="661" t="s">
        <v>895</v>
      </c>
      <c r="J21" t="s">
        <v>898</v>
      </c>
    </row>
    <row r="22" spans="2:10" ht="13.8" x14ac:dyDescent="0.25">
      <c r="B22" t="s">
        <v>901</v>
      </c>
      <c r="C22" s="654" t="s">
        <v>876</v>
      </c>
      <c r="D22" s="652">
        <f>166.46*1.065</f>
        <v>177.2799</v>
      </c>
      <c r="E22" s="661" t="s">
        <v>895</v>
      </c>
      <c r="J22" t="s">
        <v>900</v>
      </c>
    </row>
    <row r="23" spans="2:10" ht="13.8" x14ac:dyDescent="0.25">
      <c r="B23" t="s">
        <v>902</v>
      </c>
      <c r="C23" s="654" t="s">
        <v>876</v>
      </c>
      <c r="D23" s="652">
        <f>27.85*1.065</f>
        <v>29.660250000000001</v>
      </c>
      <c r="E23" s="661" t="s">
        <v>895</v>
      </c>
      <c r="J23" t="s">
        <v>901</v>
      </c>
    </row>
    <row r="24" spans="2:10" ht="13.8" x14ac:dyDescent="0.25">
      <c r="B24" t="s">
        <v>903</v>
      </c>
      <c r="C24" s="654" t="s">
        <v>876</v>
      </c>
      <c r="D24" s="652">
        <f>46.82*1.065</f>
        <v>49.863299999999995</v>
      </c>
      <c r="E24" s="661" t="s">
        <v>895</v>
      </c>
      <c r="J24" t="s">
        <v>894</v>
      </c>
    </row>
    <row r="25" spans="2:10" ht="13.8" x14ac:dyDescent="0.25">
      <c r="B25" t="s">
        <v>904</v>
      </c>
      <c r="C25" s="654" t="s">
        <v>876</v>
      </c>
      <c r="D25" s="652">
        <f>34.55*1.065</f>
        <v>36.795749999999998</v>
      </c>
      <c r="E25" s="661" t="s">
        <v>895</v>
      </c>
      <c r="J25" t="s">
        <v>902</v>
      </c>
    </row>
    <row r="26" spans="2:10" ht="13.8" x14ac:dyDescent="0.25">
      <c r="B26" t="s">
        <v>905</v>
      </c>
      <c r="C26" s="654" t="s">
        <v>876</v>
      </c>
      <c r="D26" s="652">
        <f>53.32*1.065</f>
        <v>56.785799999999995</v>
      </c>
      <c r="E26" s="661" t="s">
        <v>895</v>
      </c>
      <c r="J26" t="s">
        <v>903</v>
      </c>
    </row>
    <row r="27" spans="2:10" ht="13.8" x14ac:dyDescent="0.25">
      <c r="B27" t="s">
        <v>906</v>
      </c>
      <c r="C27" s="654" t="s">
        <v>876</v>
      </c>
      <c r="D27" s="652">
        <f>40.15*1.065</f>
        <v>42.759749999999997</v>
      </c>
      <c r="E27" s="661" t="s">
        <v>895</v>
      </c>
      <c r="J27" t="s">
        <v>907</v>
      </c>
    </row>
    <row r="28" spans="2:10" ht="13.8" x14ac:dyDescent="0.25">
      <c r="B28" t="s">
        <v>908</v>
      </c>
      <c r="C28" s="654" t="s">
        <v>876</v>
      </c>
      <c r="D28" s="652">
        <f>59.26*1.065</f>
        <v>63.111899999999991</v>
      </c>
      <c r="E28" s="661" t="s">
        <v>895</v>
      </c>
      <c r="J28" t="s">
        <v>909</v>
      </c>
    </row>
    <row r="29" spans="2:10" ht="13.8" x14ac:dyDescent="0.25">
      <c r="B29" t="s">
        <v>910</v>
      </c>
      <c r="C29" s="654" t="s">
        <v>876</v>
      </c>
      <c r="D29" s="652">
        <f>73.57*1.065</f>
        <v>78.352049999999991</v>
      </c>
      <c r="E29" s="661" t="s">
        <v>895</v>
      </c>
      <c r="J29" t="s">
        <v>906</v>
      </c>
    </row>
    <row r="30" spans="2:10" ht="13.8" x14ac:dyDescent="0.25">
      <c r="B30" t="s">
        <v>911</v>
      </c>
      <c r="C30" s="654" t="s">
        <v>876</v>
      </c>
      <c r="D30" s="652">
        <f>45.95*1.065</f>
        <v>48.936750000000004</v>
      </c>
      <c r="E30" s="661" t="s">
        <v>895</v>
      </c>
      <c r="J30" t="s">
        <v>908</v>
      </c>
    </row>
    <row r="31" spans="2:10" ht="13.8" x14ac:dyDescent="0.25">
      <c r="B31" t="s">
        <v>912</v>
      </c>
      <c r="C31" s="654" t="s">
        <v>876</v>
      </c>
      <c r="D31" s="652">
        <f>67.4*1.065</f>
        <v>71.781000000000006</v>
      </c>
      <c r="E31" s="661" t="s">
        <v>895</v>
      </c>
      <c r="J31" t="s">
        <v>910</v>
      </c>
    </row>
    <row r="32" spans="2:10" ht="13.8" x14ac:dyDescent="0.25">
      <c r="B32" t="s">
        <v>913</v>
      </c>
      <c r="C32" s="654" t="s">
        <v>876</v>
      </c>
      <c r="D32" s="652">
        <f>65.55*1.065</f>
        <v>69.810749999999999</v>
      </c>
      <c r="E32" s="661" t="s">
        <v>895</v>
      </c>
      <c r="J32" t="s">
        <v>911</v>
      </c>
    </row>
    <row r="33" spans="2:10" ht="13.8" x14ac:dyDescent="0.25">
      <c r="B33" t="s">
        <v>914</v>
      </c>
      <c r="C33" s="654" t="s">
        <v>876</v>
      </c>
      <c r="D33" s="652">
        <f>93.2*1.065</f>
        <v>99.257999999999996</v>
      </c>
      <c r="E33" s="661" t="s">
        <v>895</v>
      </c>
      <c r="J33" t="s">
        <v>912</v>
      </c>
    </row>
    <row r="34" spans="2:10" ht="13.8" x14ac:dyDescent="0.25">
      <c r="B34" t="s">
        <v>915</v>
      </c>
      <c r="C34" s="654" t="s">
        <v>876</v>
      </c>
      <c r="D34" s="652">
        <f>144.29*1.065</f>
        <v>153.66884999999999</v>
      </c>
      <c r="E34" s="661" t="s">
        <v>895</v>
      </c>
      <c r="J34" t="s">
        <v>913</v>
      </c>
    </row>
    <row r="35" spans="2:10" ht="13.8" x14ac:dyDescent="0.25">
      <c r="B35" t="s">
        <v>916</v>
      </c>
      <c r="C35" s="654" t="s">
        <v>876</v>
      </c>
      <c r="D35" s="652">
        <f>86.17*1.065</f>
        <v>91.771050000000002</v>
      </c>
      <c r="E35" s="661" t="s">
        <v>895</v>
      </c>
      <c r="J35" t="s">
        <v>914</v>
      </c>
    </row>
    <row r="36" spans="2:10" ht="13.8" x14ac:dyDescent="0.25">
      <c r="B36" t="s">
        <v>917</v>
      </c>
      <c r="C36" s="654" t="s">
        <v>876</v>
      </c>
      <c r="D36" s="652">
        <f>142.1*1.065</f>
        <v>151.33649999999997</v>
      </c>
      <c r="E36" s="661" t="s">
        <v>895</v>
      </c>
      <c r="J36" t="s">
        <v>915</v>
      </c>
    </row>
    <row r="37" spans="2:10" x14ac:dyDescent="0.25">
      <c r="J37" t="s">
        <v>916</v>
      </c>
    </row>
    <row r="38" spans="2:10" x14ac:dyDescent="0.25">
      <c r="J38" s="18" t="s">
        <v>918</v>
      </c>
    </row>
  </sheetData>
  <mergeCells count="2">
    <mergeCell ref="A1:E1"/>
    <mergeCell ref="D2:E2"/>
  </mergeCells>
  <pageMargins left="0.511811024" right="0.511811024" top="0.78740157499999996" bottom="0.78740157499999996" header="0.31496062000000002" footer="0.31496062000000002"/>
  <pageSetup paperSize="9" orientation="portrait" verticalDpi="0"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30"/>
  <sheetViews>
    <sheetView showGridLines="0" tabSelected="1" zoomScale="70" zoomScaleNormal="70" workbookViewId="0">
      <selection activeCell="H9" sqref="H9"/>
    </sheetView>
  </sheetViews>
  <sheetFormatPr defaultRowHeight="14.4" x14ac:dyDescent="0.3"/>
  <cols>
    <col min="1" max="1" width="8.33203125" style="662" customWidth="1"/>
    <col min="2" max="2" width="29.21875" style="662" customWidth="1"/>
    <col min="3" max="3" width="18" style="662" customWidth="1"/>
    <col min="4" max="4" width="38.5546875" style="662" customWidth="1"/>
    <col min="5" max="6" width="16.21875" style="662" customWidth="1"/>
    <col min="7" max="7" width="20.21875" style="662" bestFit="1" customWidth="1"/>
    <col min="8" max="8" width="24.44140625" style="662" bestFit="1" customWidth="1"/>
    <col min="9" max="9" width="8.88671875" style="662"/>
    <col min="10" max="10" width="13.77734375" style="662" bestFit="1" customWidth="1"/>
    <col min="11" max="11" width="13.6640625" style="662" customWidth="1"/>
    <col min="12" max="12" width="12.6640625" style="662" bestFit="1" customWidth="1"/>
    <col min="13" max="13" width="13.109375" style="662" bestFit="1" customWidth="1"/>
    <col min="14" max="14" width="13.88671875" style="662" bestFit="1" customWidth="1"/>
    <col min="15" max="15" width="12.77734375" style="662" customWidth="1"/>
    <col min="16" max="16384" width="8.88671875" style="662"/>
  </cols>
  <sheetData>
    <row r="1" spans="1:11" ht="23.4" customHeight="1" x14ac:dyDescent="0.3"/>
    <row r="2" spans="1:11" ht="23.4" customHeight="1" x14ac:dyDescent="0.3">
      <c r="F2" s="665"/>
      <c r="G2" s="1089"/>
    </row>
    <row r="3" spans="1:11" ht="23.4" customHeight="1" x14ac:dyDescent="0.3">
      <c r="A3" s="1091" t="s">
        <v>0</v>
      </c>
      <c r="B3" s="1091" t="s">
        <v>919</v>
      </c>
      <c r="C3" s="1092" t="s">
        <v>326</v>
      </c>
      <c r="D3" s="1091" t="s">
        <v>920</v>
      </c>
      <c r="E3" s="1093" t="s">
        <v>921</v>
      </c>
      <c r="F3" s="1093" t="s">
        <v>922</v>
      </c>
      <c r="G3" s="1093" t="s">
        <v>947</v>
      </c>
      <c r="H3" s="1091" t="s">
        <v>7</v>
      </c>
    </row>
    <row r="4" spans="1:11" ht="23.4" customHeight="1" x14ac:dyDescent="0.3">
      <c r="A4" s="1091"/>
      <c r="B4" s="1091"/>
      <c r="C4" s="1092"/>
      <c r="D4" s="1091"/>
      <c r="E4" s="1093"/>
      <c r="F4" s="1093"/>
      <c r="G4" s="1093"/>
      <c r="H4" s="1091"/>
    </row>
    <row r="5" spans="1:11" ht="46.2" customHeight="1" x14ac:dyDescent="0.3">
      <c r="A5" s="1094">
        <v>1</v>
      </c>
      <c r="B5" s="1094" t="s">
        <v>935</v>
      </c>
      <c r="C5" s="1094" t="s">
        <v>934</v>
      </c>
      <c r="D5" s="1095" t="s">
        <v>944</v>
      </c>
      <c r="E5" s="1096">
        <f>SUM('TUB. PU'!AA13:AA18)</f>
        <v>58.87</v>
      </c>
      <c r="F5" s="1096">
        <f>G15</f>
        <v>2.9435000000000007</v>
      </c>
      <c r="G5" s="1097">
        <f>G17</f>
        <v>6898.7999999999993</v>
      </c>
      <c r="H5" s="1098">
        <f>G5*F5</f>
        <v>20306.617800000004</v>
      </c>
    </row>
    <row r="6" spans="1:11" ht="46.2" customHeight="1" x14ac:dyDescent="0.3">
      <c r="A6" s="1094">
        <v>2</v>
      </c>
      <c r="B6" s="1094" t="s">
        <v>935</v>
      </c>
      <c r="C6" s="1094" t="s">
        <v>934</v>
      </c>
      <c r="D6" s="1095" t="s">
        <v>941</v>
      </c>
      <c r="E6" s="1096">
        <f>SUM('TUB. PU'!AA13:AA18)</f>
        <v>58.87</v>
      </c>
      <c r="F6" s="1096">
        <f>F5</f>
        <v>2.9435000000000007</v>
      </c>
      <c r="G6" s="1097">
        <v>7302.3999999999978</v>
      </c>
      <c r="H6" s="1098">
        <f>K6*E6</f>
        <v>21494.614399999999</v>
      </c>
      <c r="J6" s="668"/>
      <c r="K6" s="673">
        <f>('PREÇOS MERCADO'!I16)+215.58</f>
        <v>365.12</v>
      </c>
    </row>
    <row r="7" spans="1:11" ht="48" customHeight="1" x14ac:dyDescent="0.3">
      <c r="A7" s="1094">
        <v>3</v>
      </c>
      <c r="B7" s="1094" t="s">
        <v>946</v>
      </c>
      <c r="C7" s="1094" t="s">
        <v>934</v>
      </c>
      <c r="D7" s="1095" t="s">
        <v>945</v>
      </c>
      <c r="E7" s="1096">
        <f>SUM('TUB. PU'!AA9:AA12)</f>
        <v>287.44900000000001</v>
      </c>
      <c r="F7" s="1096">
        <f>SUM('TUB. PU'!AB9:AB12)</f>
        <v>14.372450000000001</v>
      </c>
      <c r="G7" s="1097">
        <f>F17</f>
        <v>8446.7684178410782</v>
      </c>
      <c r="H7" s="1098">
        <f>F7*G7</f>
        <v>121400.75674700001</v>
      </c>
    </row>
    <row r="8" spans="1:11" ht="60.6" customHeight="1" x14ac:dyDescent="0.3">
      <c r="A8" s="1094">
        <v>4</v>
      </c>
      <c r="B8" s="1094" t="s">
        <v>946</v>
      </c>
      <c r="C8" s="1094" t="s">
        <v>934</v>
      </c>
      <c r="D8" s="1094" t="s">
        <v>943</v>
      </c>
      <c r="E8" s="1096">
        <f>SUM('TUB. PU'!AA9:AA12)</f>
        <v>287.44900000000001</v>
      </c>
      <c r="F8" s="1096">
        <f>SUM('TUB. PU'!AB9:AB12)</f>
        <v>14.372450000000001</v>
      </c>
      <c r="G8" s="1097">
        <f>D24*D25*D30*D29</f>
        <v>13258.384655999998</v>
      </c>
      <c r="H8" s="1098">
        <f>F8*G8</f>
        <v>190555.47054912717</v>
      </c>
    </row>
    <row r="9" spans="1:11" ht="37.799999999999997" customHeight="1" x14ac:dyDescent="0.3">
      <c r="H9" s="1090">
        <f>SUBTOTAL(9,H5:H8)</f>
        <v>353757.45949612721</v>
      </c>
    </row>
    <row r="10" spans="1:11" ht="30" customHeight="1" x14ac:dyDescent="0.3"/>
    <row r="11" spans="1:11" x14ac:dyDescent="0.3">
      <c r="A11" s="663"/>
      <c r="G11" s="664"/>
    </row>
    <row r="14" spans="1:11" x14ac:dyDescent="0.3">
      <c r="F14" s="672">
        <f>SUM('TUB. PU'!AG9:AG12)</f>
        <v>121400.75674700001</v>
      </c>
      <c r="G14" s="672">
        <f>SUM('TUB. PU'!AG13:AG18)</f>
        <v>20306.617800000004</v>
      </c>
    </row>
    <row r="15" spans="1:11" x14ac:dyDescent="0.3">
      <c r="F15" s="662">
        <f>SUM('TUB. PU'!AB9:AB12)</f>
        <v>14.372450000000001</v>
      </c>
      <c r="G15" s="662">
        <f>SUM('TUB. PU'!AB13:AB18)</f>
        <v>2.9435000000000007</v>
      </c>
    </row>
    <row r="16" spans="1:11" x14ac:dyDescent="0.3">
      <c r="H16" s="668"/>
    </row>
    <row r="17" spans="3:8" x14ac:dyDescent="0.3">
      <c r="F17" s="662">
        <f>F14/F15</f>
        <v>8446.7684178410782</v>
      </c>
      <c r="G17" s="662">
        <f>G14/G15</f>
        <v>6898.7999999999993</v>
      </c>
      <c r="H17" s="669"/>
    </row>
    <row r="18" spans="3:8" x14ac:dyDescent="0.3">
      <c r="H18" s="669"/>
    </row>
    <row r="21" spans="3:8" x14ac:dyDescent="0.3">
      <c r="C21" s="662" t="s">
        <v>744</v>
      </c>
    </row>
    <row r="22" spans="3:8" x14ac:dyDescent="0.3">
      <c r="C22" s="662" t="s">
        <v>926</v>
      </c>
      <c r="D22" s="668">
        <f>H5/E5</f>
        <v>344.94000000000005</v>
      </c>
    </row>
    <row r="23" spans="3:8" x14ac:dyDescent="0.3">
      <c r="C23" s="662" t="s">
        <v>602</v>
      </c>
    </row>
    <row r="24" spans="3:8" x14ac:dyDescent="0.3">
      <c r="D24" s="672">
        <f>'base dados'!C14</f>
        <v>8512.06</v>
      </c>
      <c r="E24" s="671" t="s">
        <v>864</v>
      </c>
      <c r="F24" s="673">
        <v>484.24</v>
      </c>
      <c r="G24" s="673">
        <f>F24*E8</f>
        <v>139194.30376000001</v>
      </c>
    </row>
    <row r="25" spans="3:8" x14ac:dyDescent="0.3">
      <c r="C25" t="s">
        <v>923</v>
      </c>
      <c r="D25" s="662">
        <v>1.1000000000000001</v>
      </c>
    </row>
    <row r="26" spans="3:8" x14ac:dyDescent="0.3">
      <c r="D26" s="662">
        <f>'PREÇOS MERCADO'!D17</f>
        <v>19.255199999999999</v>
      </c>
    </row>
    <row r="27" spans="3:8" x14ac:dyDescent="0.3">
      <c r="C27"/>
      <c r="E27" s="671"/>
    </row>
    <row r="28" spans="3:8" x14ac:dyDescent="0.3">
      <c r="C28"/>
      <c r="E28" s="671"/>
    </row>
    <row r="29" spans="3:8" x14ac:dyDescent="0.3">
      <c r="C29" t="s">
        <v>924</v>
      </c>
      <c r="D29" s="662">
        <v>1.18</v>
      </c>
    </row>
    <row r="30" spans="3:8" x14ac:dyDescent="0.3">
      <c r="C30" t="s">
        <v>925</v>
      </c>
      <c r="D30" s="662">
        <v>1.2</v>
      </c>
    </row>
  </sheetData>
  <mergeCells count="8">
    <mergeCell ref="G3:G4"/>
    <mergeCell ref="H3:H4"/>
    <mergeCell ref="F3:F4"/>
    <mergeCell ref="A3:A4"/>
    <mergeCell ref="B3:B4"/>
    <mergeCell ref="C3:C4"/>
    <mergeCell ref="D3:D4"/>
    <mergeCell ref="E3:E4"/>
  </mergeCells>
  <printOptions horizontalCentered="1"/>
  <pageMargins left="0.15748031496062992" right="0.15748031496062992" top="0.35433070866141736" bottom="0.43307086614173229" header="0.31496062992125984" footer="0.31496062992125984"/>
  <pageSetup paperSize="9" scale="65"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5"/>
  <dimension ref="A1:P21"/>
  <sheetViews>
    <sheetView showGridLines="0" workbookViewId="0">
      <selection activeCell="J12" sqref="J12:J13"/>
    </sheetView>
  </sheetViews>
  <sheetFormatPr defaultColWidth="8.88671875" defaultRowHeight="13.2" x14ac:dyDescent="0.25"/>
  <cols>
    <col min="1" max="1" width="18.44140625" customWidth="1"/>
  </cols>
  <sheetData>
    <row r="1" spans="1:16" ht="18.75" customHeight="1" x14ac:dyDescent="0.25">
      <c r="A1" s="1036" t="s">
        <v>295</v>
      </c>
      <c r="B1" s="1036" t="s">
        <v>294</v>
      </c>
      <c r="C1" s="1037"/>
      <c r="D1" s="1037"/>
      <c r="E1" s="1037"/>
      <c r="F1" s="1037"/>
      <c r="G1" s="1037"/>
      <c r="H1" s="1037"/>
      <c r="I1" s="1037"/>
      <c r="J1" s="1037"/>
      <c r="K1" s="1037"/>
      <c r="L1" s="1037"/>
      <c r="M1" s="1037"/>
      <c r="N1" s="1037"/>
      <c r="O1" s="1037"/>
    </row>
    <row r="2" spans="1:16" ht="15.75" customHeight="1" x14ac:dyDescent="0.25">
      <c r="A2" s="1036"/>
      <c r="B2" s="1037"/>
      <c r="C2" s="1037"/>
      <c r="D2" s="1037"/>
      <c r="E2" s="1037"/>
      <c r="F2" s="1037"/>
      <c r="G2" s="1037"/>
      <c r="H2" s="1037"/>
      <c r="I2" s="1037"/>
      <c r="J2" s="1037"/>
      <c r="K2" s="1037"/>
      <c r="L2" s="1037"/>
      <c r="M2" s="1037"/>
      <c r="N2" s="1037"/>
      <c r="O2" s="1037"/>
    </row>
    <row r="3" spans="1:16" x14ac:dyDescent="0.25">
      <c r="A3" s="1036"/>
      <c r="B3" s="1037"/>
      <c r="C3" s="1037"/>
      <c r="D3" s="1037"/>
      <c r="E3" s="1037"/>
      <c r="F3" s="1037"/>
      <c r="G3" s="1037"/>
      <c r="H3" s="1037"/>
      <c r="I3" s="1037"/>
      <c r="J3" s="1037"/>
      <c r="K3" s="1037"/>
      <c r="L3" s="1037"/>
      <c r="M3" s="1037"/>
      <c r="N3" s="1037"/>
      <c r="O3" s="1037"/>
    </row>
    <row r="4" spans="1:16" x14ac:dyDescent="0.25">
      <c r="A4" s="1036"/>
      <c r="B4" s="1035">
        <v>1</v>
      </c>
      <c r="C4" s="1035">
        <v>2</v>
      </c>
      <c r="D4" s="1035">
        <v>3</v>
      </c>
      <c r="E4" s="1035">
        <v>4</v>
      </c>
      <c r="F4" s="1035">
        <v>6</v>
      </c>
      <c r="G4" s="1035">
        <v>8</v>
      </c>
      <c r="H4" s="1035">
        <v>10</v>
      </c>
      <c r="I4" s="1035">
        <v>12</v>
      </c>
      <c r="J4" s="1035">
        <v>14</v>
      </c>
      <c r="K4" s="1035">
        <v>16</v>
      </c>
      <c r="L4" s="1035">
        <v>18</v>
      </c>
      <c r="M4" s="1035">
        <v>20</v>
      </c>
      <c r="N4" s="1035">
        <v>24</v>
      </c>
      <c r="O4" s="1035" t="s">
        <v>293</v>
      </c>
    </row>
    <row r="5" spans="1:16" x14ac:dyDescent="0.25">
      <c r="A5" s="1036"/>
      <c r="B5" s="1035"/>
      <c r="C5" s="1035"/>
      <c r="D5" s="1035"/>
      <c r="E5" s="1035"/>
      <c r="F5" s="1035"/>
      <c r="G5" s="1035"/>
      <c r="H5" s="1035"/>
      <c r="I5" s="1035"/>
      <c r="J5" s="1035"/>
      <c r="K5" s="1035"/>
      <c r="L5" s="1035"/>
      <c r="M5" s="1035"/>
      <c r="N5" s="1035"/>
      <c r="O5" s="1035"/>
    </row>
    <row r="6" spans="1:16" ht="20.100000000000001" customHeight="1" x14ac:dyDescent="0.25">
      <c r="A6" s="1033" t="s">
        <v>292</v>
      </c>
      <c r="B6" s="1033">
        <v>3.5</v>
      </c>
      <c r="C6" s="1033">
        <v>3.5</v>
      </c>
      <c r="D6" s="1033">
        <v>4</v>
      </c>
      <c r="E6" s="1033">
        <v>4</v>
      </c>
      <c r="F6" s="1033">
        <v>4</v>
      </c>
      <c r="G6" s="1033">
        <v>4</v>
      </c>
      <c r="H6" s="1033">
        <v>4</v>
      </c>
      <c r="I6" s="1033">
        <v>4</v>
      </c>
      <c r="J6" s="1033">
        <v>4.5</v>
      </c>
      <c r="K6" s="1033">
        <v>4.5</v>
      </c>
      <c r="L6" s="1033">
        <v>4.5</v>
      </c>
      <c r="M6" s="1033">
        <v>4.5</v>
      </c>
      <c r="N6" s="1033">
        <v>4.5</v>
      </c>
      <c r="O6" s="1033">
        <v>4.5</v>
      </c>
    </row>
    <row r="7" spans="1:16" ht="20.100000000000001" customHeight="1" x14ac:dyDescent="0.25">
      <c r="A7" s="1033"/>
      <c r="B7" s="1033"/>
      <c r="C7" s="1033"/>
      <c r="D7" s="1033"/>
      <c r="E7" s="1033"/>
      <c r="F7" s="1033"/>
      <c r="G7" s="1033"/>
      <c r="H7" s="1033"/>
      <c r="I7" s="1033"/>
      <c r="J7" s="1033"/>
      <c r="K7" s="1033"/>
      <c r="L7" s="1033"/>
      <c r="M7" s="1033"/>
      <c r="N7" s="1033"/>
      <c r="O7" s="1033"/>
    </row>
    <row r="8" spans="1:16" ht="20.100000000000001" customHeight="1" x14ac:dyDescent="0.25">
      <c r="A8" s="1033" t="s">
        <v>291</v>
      </c>
      <c r="B8" s="1033">
        <v>3</v>
      </c>
      <c r="C8" s="1033">
        <v>3.5</v>
      </c>
      <c r="D8" s="1033">
        <v>3.5</v>
      </c>
      <c r="E8" s="1033">
        <v>3.5</v>
      </c>
      <c r="F8" s="1033">
        <v>4</v>
      </c>
      <c r="G8" s="1033">
        <v>4</v>
      </c>
      <c r="H8" s="1033">
        <v>4</v>
      </c>
      <c r="I8" s="1033">
        <v>4</v>
      </c>
      <c r="J8" s="1033">
        <v>4</v>
      </c>
      <c r="K8" s="1033">
        <v>4</v>
      </c>
      <c r="L8" s="1033">
        <v>4</v>
      </c>
      <c r="M8" s="1033">
        <v>4</v>
      </c>
      <c r="N8" s="1033">
        <v>4</v>
      </c>
      <c r="O8" s="1033">
        <v>4</v>
      </c>
      <c r="P8" s="1034" t="s">
        <v>334</v>
      </c>
    </row>
    <row r="9" spans="1:16" ht="20.100000000000001" customHeight="1" x14ac:dyDescent="0.25">
      <c r="A9" s="1033"/>
      <c r="B9" s="1033"/>
      <c r="C9" s="1033"/>
      <c r="D9" s="1033"/>
      <c r="E9" s="1033"/>
      <c r="F9" s="1033"/>
      <c r="G9" s="1033"/>
      <c r="H9" s="1033"/>
      <c r="I9" s="1033"/>
      <c r="J9" s="1033"/>
      <c r="K9" s="1033"/>
      <c r="L9" s="1033"/>
      <c r="M9" s="1033"/>
      <c r="N9" s="1033"/>
      <c r="O9" s="1033"/>
      <c r="P9" s="1034"/>
    </row>
    <row r="10" spans="1:16" ht="20.100000000000001" customHeight="1" x14ac:dyDescent="0.25">
      <c r="A10" s="1033" t="s">
        <v>290</v>
      </c>
      <c r="B10" s="1033">
        <v>3</v>
      </c>
      <c r="C10" s="1033">
        <v>3</v>
      </c>
      <c r="D10" s="1033">
        <v>3</v>
      </c>
      <c r="E10" s="1033">
        <v>3.5</v>
      </c>
      <c r="F10" s="1033">
        <v>3.5</v>
      </c>
      <c r="G10" s="1033">
        <v>3.5</v>
      </c>
      <c r="H10" s="1033">
        <v>3.5</v>
      </c>
      <c r="I10" s="1033">
        <v>3.5</v>
      </c>
      <c r="J10" s="1033">
        <v>3.5</v>
      </c>
      <c r="K10" s="1033">
        <v>3.5</v>
      </c>
      <c r="L10" s="1033">
        <v>3.5</v>
      </c>
      <c r="M10" s="1033">
        <v>3.5</v>
      </c>
      <c r="N10" s="1033">
        <v>3.5</v>
      </c>
      <c r="O10" s="1033">
        <v>3.5</v>
      </c>
    </row>
    <row r="11" spans="1:16" ht="20.100000000000001" customHeight="1" x14ac:dyDescent="0.25">
      <c r="A11" s="1033"/>
      <c r="B11" s="1033"/>
      <c r="C11" s="1033"/>
      <c r="D11" s="1033"/>
      <c r="E11" s="1033"/>
      <c r="F11" s="1033"/>
      <c r="G11" s="1033"/>
      <c r="H11" s="1033"/>
      <c r="I11" s="1033"/>
      <c r="J11" s="1033"/>
      <c r="K11" s="1033"/>
      <c r="L11" s="1033"/>
      <c r="M11" s="1033"/>
      <c r="N11" s="1033"/>
      <c r="O11" s="1033"/>
    </row>
    <row r="12" spans="1:16" ht="20.100000000000001" customHeight="1" x14ac:dyDescent="0.25">
      <c r="A12" s="1033" t="s">
        <v>289</v>
      </c>
      <c r="B12" s="1033">
        <v>2.5</v>
      </c>
      <c r="C12" s="1033">
        <v>2.5</v>
      </c>
      <c r="D12" s="1033">
        <v>3</v>
      </c>
      <c r="E12" s="1033">
        <v>3</v>
      </c>
      <c r="F12" s="1033">
        <v>3</v>
      </c>
      <c r="G12" s="1033">
        <v>3</v>
      </c>
      <c r="H12" s="1033">
        <v>3</v>
      </c>
      <c r="I12" s="1033">
        <v>3</v>
      </c>
      <c r="J12" s="1033">
        <v>3</v>
      </c>
      <c r="K12" s="1033">
        <v>3</v>
      </c>
      <c r="L12" s="1033">
        <v>3</v>
      </c>
      <c r="M12" s="1033">
        <v>3</v>
      </c>
      <c r="N12" s="1033">
        <v>3</v>
      </c>
      <c r="O12" s="1033">
        <v>3</v>
      </c>
    </row>
    <row r="13" spans="1:16" ht="20.100000000000001" customHeight="1" x14ac:dyDescent="0.25">
      <c r="A13" s="1033"/>
      <c r="B13" s="1033"/>
      <c r="C13" s="1033"/>
      <c r="D13" s="1033"/>
      <c r="E13" s="1033"/>
      <c r="F13" s="1033"/>
      <c r="G13" s="1033"/>
      <c r="H13" s="1033"/>
      <c r="I13" s="1033"/>
      <c r="J13" s="1033"/>
      <c r="K13" s="1033"/>
      <c r="L13" s="1033"/>
      <c r="M13" s="1033"/>
      <c r="N13" s="1033"/>
      <c r="O13" s="1033"/>
    </row>
    <row r="14" spans="1:16" ht="20.100000000000001" customHeight="1" x14ac:dyDescent="0.25">
      <c r="A14" s="1033" t="s">
        <v>288</v>
      </c>
      <c r="B14" s="1033">
        <v>2.5</v>
      </c>
      <c r="C14" s="1033">
        <v>2.5</v>
      </c>
      <c r="D14" s="1033">
        <v>2.5</v>
      </c>
      <c r="E14" s="1033">
        <v>2.5</v>
      </c>
      <c r="F14" s="1033">
        <v>2.5</v>
      </c>
      <c r="G14" s="1033">
        <v>3</v>
      </c>
      <c r="H14" s="1033">
        <v>3</v>
      </c>
      <c r="I14" s="1033">
        <v>3</v>
      </c>
      <c r="J14" s="1033">
        <v>3</v>
      </c>
      <c r="K14" s="1033">
        <v>3</v>
      </c>
      <c r="L14" s="1033">
        <v>3</v>
      </c>
      <c r="M14" s="1033">
        <v>3</v>
      </c>
      <c r="N14" s="1033">
        <v>3</v>
      </c>
      <c r="O14" s="1033">
        <v>3</v>
      </c>
      <c r="P14" s="1034" t="s">
        <v>333</v>
      </c>
    </row>
    <row r="15" spans="1:16" ht="20.100000000000001" customHeight="1" x14ac:dyDescent="0.25">
      <c r="A15" s="1033"/>
      <c r="B15" s="1033"/>
      <c r="C15" s="1033"/>
      <c r="D15" s="1033"/>
      <c r="E15" s="1033"/>
      <c r="F15" s="1033"/>
      <c r="G15" s="1033"/>
      <c r="H15" s="1033"/>
      <c r="I15" s="1033"/>
      <c r="J15" s="1033"/>
      <c r="K15" s="1033"/>
      <c r="L15" s="1033"/>
      <c r="M15" s="1033"/>
      <c r="N15" s="1033"/>
      <c r="O15" s="1033"/>
      <c r="P15" s="1034"/>
    </row>
    <row r="16" spans="1:16" ht="20.100000000000001" customHeight="1" x14ac:dyDescent="0.25">
      <c r="A16" s="1033" t="s">
        <v>287</v>
      </c>
      <c r="B16" s="1033">
        <v>2</v>
      </c>
      <c r="C16" s="1033">
        <v>2</v>
      </c>
      <c r="D16" s="1033">
        <v>2.5</v>
      </c>
      <c r="E16" s="1033">
        <v>2.5</v>
      </c>
      <c r="F16" s="1033">
        <v>2.5</v>
      </c>
      <c r="G16" s="1033">
        <v>2.5</v>
      </c>
      <c r="H16" s="1033">
        <v>2.5</v>
      </c>
      <c r="I16" s="1033">
        <v>2.5</v>
      </c>
      <c r="J16" s="1033">
        <v>2.5</v>
      </c>
      <c r="K16" s="1033">
        <v>2.5</v>
      </c>
      <c r="L16" s="1033">
        <v>2.5</v>
      </c>
      <c r="M16" s="1033">
        <v>2.5</v>
      </c>
      <c r="N16" s="1033">
        <v>2.5</v>
      </c>
      <c r="O16" s="1033">
        <v>2.5</v>
      </c>
    </row>
    <row r="17" spans="1:15" ht="20.100000000000001" customHeight="1" x14ac:dyDescent="0.25">
      <c r="A17" s="1033"/>
      <c r="B17" s="1033"/>
      <c r="C17" s="1033"/>
      <c r="D17" s="1033"/>
      <c r="E17" s="1033"/>
      <c r="F17" s="1033"/>
      <c r="G17" s="1033"/>
      <c r="H17" s="1033"/>
      <c r="I17" s="1033"/>
      <c r="J17" s="1033"/>
      <c r="K17" s="1033"/>
      <c r="L17" s="1033"/>
      <c r="M17" s="1033"/>
      <c r="N17" s="1033"/>
      <c r="O17" s="1033"/>
    </row>
    <row r="18" spans="1:15" ht="20.100000000000001" customHeight="1" x14ac:dyDescent="0.25">
      <c r="A18" s="1033" t="s">
        <v>286</v>
      </c>
      <c r="B18" s="1033">
        <v>2</v>
      </c>
      <c r="C18" s="1033">
        <v>2</v>
      </c>
      <c r="D18" s="1033">
        <v>2</v>
      </c>
      <c r="E18" s="1033">
        <v>2</v>
      </c>
      <c r="F18" s="1033">
        <v>2</v>
      </c>
      <c r="G18" s="1033">
        <v>2</v>
      </c>
      <c r="H18" s="1033">
        <v>2</v>
      </c>
      <c r="I18" s="1033">
        <v>2</v>
      </c>
      <c r="J18" s="1033">
        <v>2</v>
      </c>
      <c r="K18" s="1033">
        <v>2</v>
      </c>
      <c r="L18" s="1033">
        <v>2</v>
      </c>
      <c r="M18" s="1033">
        <v>2</v>
      </c>
      <c r="N18" s="1033">
        <v>2</v>
      </c>
      <c r="O18" s="1033">
        <v>2</v>
      </c>
    </row>
    <row r="19" spans="1:15" ht="20.100000000000001" customHeight="1" x14ac:dyDescent="0.25">
      <c r="A19" s="1033"/>
      <c r="B19" s="1033"/>
      <c r="C19" s="1033"/>
      <c r="D19" s="1033"/>
      <c r="E19" s="1033"/>
      <c r="F19" s="1033"/>
      <c r="G19" s="1033"/>
      <c r="H19" s="1033"/>
      <c r="I19" s="1033"/>
      <c r="J19" s="1033"/>
      <c r="K19" s="1033"/>
      <c r="L19" s="1033"/>
      <c r="M19" s="1033"/>
      <c r="N19" s="1033"/>
      <c r="O19" s="1033"/>
    </row>
    <row r="20" spans="1:15" ht="20.100000000000001" customHeight="1" x14ac:dyDescent="0.25">
      <c r="A20" s="1033" t="s">
        <v>285</v>
      </c>
      <c r="B20" s="1033">
        <v>1.5</v>
      </c>
      <c r="C20" s="1033">
        <v>1.5</v>
      </c>
      <c r="D20" s="1033">
        <v>1.5</v>
      </c>
      <c r="E20" s="1033">
        <v>1.5</v>
      </c>
      <c r="F20" s="1033">
        <v>1.5</v>
      </c>
      <c r="G20" s="1033">
        <v>1.5</v>
      </c>
      <c r="H20" s="1033">
        <v>1.5</v>
      </c>
      <c r="I20" s="1033">
        <v>1.5</v>
      </c>
      <c r="J20" s="1033">
        <v>1.5</v>
      </c>
      <c r="K20" s="1033">
        <v>1.5</v>
      </c>
      <c r="L20" s="1033">
        <v>1.5</v>
      </c>
      <c r="M20" s="1033">
        <v>1.5</v>
      </c>
      <c r="N20" s="1033">
        <v>1.5</v>
      </c>
      <c r="O20" s="1033">
        <v>1.5</v>
      </c>
    </row>
    <row r="21" spans="1:15" ht="20.100000000000001" customHeight="1" x14ac:dyDescent="0.25">
      <c r="A21" s="1033"/>
      <c r="B21" s="1033"/>
      <c r="C21" s="1033"/>
      <c r="D21" s="1033"/>
      <c r="E21" s="1033"/>
      <c r="F21" s="1033"/>
      <c r="G21" s="1033"/>
      <c r="H21" s="1033"/>
      <c r="I21" s="1033"/>
      <c r="J21" s="1033"/>
      <c r="K21" s="1033"/>
      <c r="L21" s="1033"/>
      <c r="M21" s="1033"/>
      <c r="N21" s="1033"/>
      <c r="O21" s="1033"/>
    </row>
  </sheetData>
  <mergeCells count="138">
    <mergeCell ref="P14:P15"/>
    <mergeCell ref="P8:P9"/>
    <mergeCell ref="J4:J5"/>
    <mergeCell ref="K4:K5"/>
    <mergeCell ref="L4:L5"/>
    <mergeCell ref="M4:M5"/>
    <mergeCell ref="N4:N5"/>
    <mergeCell ref="O4:O5"/>
    <mergeCell ref="A1:A5"/>
    <mergeCell ref="B1:O3"/>
    <mergeCell ref="B4:B5"/>
    <mergeCell ref="C4:C5"/>
    <mergeCell ref="D4:D5"/>
    <mergeCell ref="E4:E5"/>
    <mergeCell ref="F4:F5"/>
    <mergeCell ref="G4:G5"/>
    <mergeCell ref="H4:H5"/>
    <mergeCell ref="I4:I5"/>
    <mergeCell ref="M6:M7"/>
    <mergeCell ref="N6:N7"/>
    <mergeCell ref="O6:O7"/>
    <mergeCell ref="A8:A9"/>
    <mergeCell ref="B8:B9"/>
    <mergeCell ref="C8:C9"/>
    <mergeCell ref="O8:O9"/>
    <mergeCell ref="I8:I9"/>
    <mergeCell ref="J8:J9"/>
    <mergeCell ref="K8:K9"/>
    <mergeCell ref="L8:L9"/>
    <mergeCell ref="M8:M9"/>
    <mergeCell ref="D8:D9"/>
    <mergeCell ref="E8:E9"/>
    <mergeCell ref="F8:F9"/>
    <mergeCell ref="G8:G9"/>
    <mergeCell ref="H8:H9"/>
    <mergeCell ref="L6:L7"/>
    <mergeCell ref="A6:A7"/>
    <mergeCell ref="B6:B7"/>
    <mergeCell ref="C6:C7"/>
    <mergeCell ref="D6:D7"/>
    <mergeCell ref="E6:E7"/>
    <mergeCell ref="F6:F7"/>
    <mergeCell ref="N8:N9"/>
    <mergeCell ref="G6:G7"/>
    <mergeCell ref="H6:H7"/>
    <mergeCell ref="I6:I7"/>
    <mergeCell ref="J6:J7"/>
    <mergeCell ref="K6:K7"/>
    <mergeCell ref="O10:O11"/>
    <mergeCell ref="A12:A13"/>
    <mergeCell ref="B12:B13"/>
    <mergeCell ref="C12:C13"/>
    <mergeCell ref="D12:D13"/>
    <mergeCell ref="E12:E13"/>
    <mergeCell ref="F12:F13"/>
    <mergeCell ref="G12:G13"/>
    <mergeCell ref="H12:H13"/>
    <mergeCell ref="I12:I13"/>
    <mergeCell ref="I10:I11"/>
    <mergeCell ref="J10:J11"/>
    <mergeCell ref="K10:K11"/>
    <mergeCell ref="L10:L11"/>
    <mergeCell ref="M10:M11"/>
    <mergeCell ref="N10:N11"/>
    <mergeCell ref="A10:A11"/>
    <mergeCell ref="B10:B11"/>
    <mergeCell ref="C10:C11"/>
    <mergeCell ref="D10:D11"/>
    <mergeCell ref="E10:E11"/>
    <mergeCell ref="F10:F11"/>
    <mergeCell ref="G10:G11"/>
    <mergeCell ref="H10:H11"/>
    <mergeCell ref="J12:J13"/>
    <mergeCell ref="K12:K13"/>
    <mergeCell ref="L12:L13"/>
    <mergeCell ref="M12:M13"/>
    <mergeCell ref="N12:N13"/>
    <mergeCell ref="O12:O13"/>
    <mergeCell ref="I16:I17"/>
    <mergeCell ref="J16:J17"/>
    <mergeCell ref="K16:K17"/>
    <mergeCell ref="L16:L17"/>
    <mergeCell ref="M16:M17"/>
    <mergeCell ref="O14:O15"/>
    <mergeCell ref="I14:I15"/>
    <mergeCell ref="J14:J15"/>
    <mergeCell ref="K14:K15"/>
    <mergeCell ref="L14:L15"/>
    <mergeCell ref="N16:N17"/>
    <mergeCell ref="O16:O17"/>
    <mergeCell ref="A16:A17"/>
    <mergeCell ref="B16:B17"/>
    <mergeCell ref="C16:C17"/>
    <mergeCell ref="D16:D17"/>
    <mergeCell ref="E16:E17"/>
    <mergeCell ref="F16:F17"/>
    <mergeCell ref="G16:G17"/>
    <mergeCell ref="G14:G15"/>
    <mergeCell ref="H14:H15"/>
    <mergeCell ref="A14:A15"/>
    <mergeCell ref="B14:B15"/>
    <mergeCell ref="C14:C15"/>
    <mergeCell ref="D14:D15"/>
    <mergeCell ref="E14:E15"/>
    <mergeCell ref="F14:F15"/>
    <mergeCell ref="G18:G19"/>
    <mergeCell ref="H18:H19"/>
    <mergeCell ref="C18:C19"/>
    <mergeCell ref="D18:D19"/>
    <mergeCell ref="E18:E19"/>
    <mergeCell ref="H16:H17"/>
    <mergeCell ref="M14:M15"/>
    <mergeCell ref="N14:N15"/>
    <mergeCell ref="F18:F19"/>
    <mergeCell ref="J20:J21"/>
    <mergeCell ref="K20:K21"/>
    <mergeCell ref="L20:L21"/>
    <mergeCell ref="M20:M21"/>
    <mergeCell ref="N20:N21"/>
    <mergeCell ref="O20:O21"/>
    <mergeCell ref="O18:O19"/>
    <mergeCell ref="A20:A21"/>
    <mergeCell ref="B20:B21"/>
    <mergeCell ref="C20:C21"/>
    <mergeCell ref="D20:D21"/>
    <mergeCell ref="E20:E21"/>
    <mergeCell ref="F20:F21"/>
    <mergeCell ref="G20:G21"/>
    <mergeCell ref="H20:H21"/>
    <mergeCell ref="I20:I21"/>
    <mergeCell ref="I18:I19"/>
    <mergeCell ref="J18:J19"/>
    <mergeCell ref="K18:K19"/>
    <mergeCell ref="L18:L19"/>
    <mergeCell ref="M18:M19"/>
    <mergeCell ref="N18:N19"/>
    <mergeCell ref="A18:A19"/>
    <mergeCell ref="B18:B19"/>
  </mergeCells>
  <pageMargins left="0.511811024" right="0.511811024" top="0.78740157499999996" bottom="0.78740157499999996" header="0.31496062000000002" footer="0.31496062000000002"/>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6"/>
  <dimension ref="A3:T20"/>
  <sheetViews>
    <sheetView showGridLines="0" workbookViewId="0">
      <selection activeCell="K17" sqref="K17"/>
    </sheetView>
  </sheetViews>
  <sheetFormatPr defaultColWidth="8.88671875" defaultRowHeight="13.2" x14ac:dyDescent="0.25"/>
  <cols>
    <col min="1" max="1" width="17.44140625" customWidth="1"/>
    <col min="2" max="15" width="6.6640625" customWidth="1"/>
    <col min="17" max="17" width="27.44140625" hidden="1" customWidth="1"/>
    <col min="18" max="18" width="31" hidden="1" customWidth="1"/>
    <col min="19" max="19" width="45.44140625" hidden="1" customWidth="1"/>
    <col min="20" max="20" width="33.88671875" hidden="1" customWidth="1"/>
  </cols>
  <sheetData>
    <row r="3" spans="1:20" ht="24.75" customHeight="1" x14ac:dyDescent="0.25">
      <c r="A3" s="1044" t="s">
        <v>295</v>
      </c>
      <c r="B3" s="1046" t="s">
        <v>294</v>
      </c>
      <c r="C3" s="1046"/>
      <c r="D3" s="1046"/>
      <c r="E3" s="1046"/>
      <c r="F3" s="1046"/>
      <c r="G3" s="1046"/>
      <c r="H3" s="1046"/>
      <c r="I3" s="1046"/>
      <c r="J3" s="1046"/>
      <c r="K3" s="1046"/>
      <c r="L3" s="1046"/>
      <c r="M3" s="1046"/>
      <c r="N3" s="1046"/>
      <c r="O3" s="1047"/>
      <c r="S3" s="77" t="s">
        <v>325</v>
      </c>
      <c r="T3" s="77" t="s">
        <v>324</v>
      </c>
    </row>
    <row r="4" spans="1:20" ht="13.8" x14ac:dyDescent="0.25">
      <c r="A4" s="1045"/>
      <c r="B4" s="1042">
        <v>1</v>
      </c>
      <c r="C4" s="1042">
        <v>2</v>
      </c>
      <c r="D4" s="1042">
        <v>3</v>
      </c>
      <c r="E4" s="1042">
        <v>4</v>
      </c>
      <c r="F4" s="1042">
        <v>6</v>
      </c>
      <c r="G4" s="1042">
        <v>8</v>
      </c>
      <c r="H4" s="1042">
        <v>10</v>
      </c>
      <c r="I4" s="1042">
        <v>12</v>
      </c>
      <c r="J4" s="1042">
        <v>14</v>
      </c>
      <c r="K4" s="1042">
        <v>16</v>
      </c>
      <c r="L4" s="1042">
        <v>18</v>
      </c>
      <c r="M4" s="1042">
        <v>20</v>
      </c>
      <c r="N4" s="1042">
        <v>24</v>
      </c>
      <c r="O4" s="1043" t="s">
        <v>293</v>
      </c>
      <c r="S4" s="76" t="s">
        <v>323</v>
      </c>
      <c r="T4" s="75" t="s">
        <v>322</v>
      </c>
    </row>
    <row r="5" spans="1:20" ht="13.8" x14ac:dyDescent="0.25">
      <c r="A5" s="1045"/>
      <c r="B5" s="1042"/>
      <c r="C5" s="1042"/>
      <c r="D5" s="1042"/>
      <c r="E5" s="1042"/>
      <c r="F5" s="1042"/>
      <c r="G5" s="1042"/>
      <c r="H5" s="1042"/>
      <c r="I5" s="1042"/>
      <c r="J5" s="1042"/>
      <c r="K5" s="1042"/>
      <c r="L5" s="1042"/>
      <c r="M5" s="1042"/>
      <c r="N5" s="1042"/>
      <c r="O5" s="1043"/>
      <c r="S5" s="74" t="s">
        <v>321</v>
      </c>
      <c r="T5" s="73" t="s">
        <v>320</v>
      </c>
    </row>
    <row r="6" spans="1:20" ht="20.100000000000001" customHeight="1" x14ac:dyDescent="0.25">
      <c r="A6" s="71" t="s">
        <v>319</v>
      </c>
      <c r="B6" s="70">
        <v>1.5</v>
      </c>
      <c r="C6" s="70">
        <v>1.5</v>
      </c>
      <c r="D6" s="70">
        <v>1.5</v>
      </c>
      <c r="E6" s="70">
        <v>1.5</v>
      </c>
      <c r="F6" s="70">
        <v>1.5</v>
      </c>
      <c r="G6" s="70">
        <v>1.5</v>
      </c>
      <c r="H6" s="70">
        <v>1.5</v>
      </c>
      <c r="I6" s="70">
        <v>1.5</v>
      </c>
      <c r="J6" s="70">
        <v>1.5</v>
      </c>
      <c r="K6" s="70">
        <v>1.5</v>
      </c>
      <c r="L6" s="70">
        <v>1.5</v>
      </c>
      <c r="M6" s="70">
        <v>1.5</v>
      </c>
      <c r="N6" s="70">
        <v>1.5</v>
      </c>
      <c r="O6" s="69">
        <v>1.5</v>
      </c>
      <c r="S6" s="74" t="s">
        <v>318</v>
      </c>
      <c r="T6" s="73" t="s">
        <v>317</v>
      </c>
    </row>
    <row r="7" spans="1:20" ht="20.100000000000001" customHeight="1" x14ac:dyDescent="0.25">
      <c r="A7" s="72" t="s">
        <v>316</v>
      </c>
      <c r="B7" s="70">
        <v>1.5</v>
      </c>
      <c r="C7" s="70">
        <v>1.5</v>
      </c>
      <c r="D7" s="70">
        <v>1.5</v>
      </c>
      <c r="E7" s="70">
        <v>1.5</v>
      </c>
      <c r="F7" s="70">
        <v>1.5</v>
      </c>
      <c r="G7" s="70">
        <v>1.5</v>
      </c>
      <c r="H7" s="70">
        <v>1.5</v>
      </c>
      <c r="I7" s="70">
        <v>1.5</v>
      </c>
      <c r="J7" s="70">
        <v>1.5</v>
      </c>
      <c r="K7" s="70">
        <v>1.5</v>
      </c>
      <c r="L7" s="70">
        <v>1.5</v>
      </c>
      <c r="M7" s="70">
        <v>1.5</v>
      </c>
      <c r="N7" s="70">
        <v>1.5</v>
      </c>
      <c r="O7" s="69">
        <v>1.5</v>
      </c>
      <c r="S7" s="1038" t="s">
        <v>315</v>
      </c>
      <c r="T7" s="1040" t="s">
        <v>314</v>
      </c>
    </row>
    <row r="8" spans="1:20" ht="20.100000000000001" customHeight="1" x14ac:dyDescent="0.25">
      <c r="A8" s="72" t="s">
        <v>313</v>
      </c>
      <c r="B8" s="70">
        <v>1.5</v>
      </c>
      <c r="C8" s="70">
        <v>1.5</v>
      </c>
      <c r="D8" s="70">
        <v>1.5</v>
      </c>
      <c r="E8" s="70">
        <v>1.5</v>
      </c>
      <c r="F8" s="70">
        <v>1.5</v>
      </c>
      <c r="G8" s="70">
        <v>1.5</v>
      </c>
      <c r="H8" s="70">
        <v>1.5</v>
      </c>
      <c r="I8" s="70">
        <v>1.5</v>
      </c>
      <c r="J8" s="70">
        <v>1.5</v>
      </c>
      <c r="K8" s="70">
        <v>1.5</v>
      </c>
      <c r="L8" s="70">
        <v>1.5</v>
      </c>
      <c r="M8" s="70">
        <v>1.5</v>
      </c>
      <c r="N8" s="70">
        <v>1.5</v>
      </c>
      <c r="O8" s="69">
        <v>1.5</v>
      </c>
      <c r="S8" s="1039"/>
      <c r="T8" s="1041"/>
    </row>
    <row r="9" spans="1:20" ht="20.100000000000001" customHeight="1" x14ac:dyDescent="0.25">
      <c r="A9" s="72" t="s">
        <v>312</v>
      </c>
      <c r="B9" s="70" t="s">
        <v>309</v>
      </c>
      <c r="C9" s="70">
        <v>1.5</v>
      </c>
      <c r="D9" s="70">
        <v>1.5</v>
      </c>
      <c r="E9" s="70">
        <v>1.5</v>
      </c>
      <c r="F9" s="70">
        <v>1.5</v>
      </c>
      <c r="G9" s="70">
        <v>1.5</v>
      </c>
      <c r="H9" s="70">
        <v>1.5</v>
      </c>
      <c r="I9" s="70">
        <v>1.5</v>
      </c>
      <c r="J9" s="70">
        <v>1.5</v>
      </c>
      <c r="K9" s="70">
        <v>2</v>
      </c>
      <c r="L9" s="70">
        <v>2</v>
      </c>
      <c r="M9" s="70">
        <v>2</v>
      </c>
      <c r="N9" s="70">
        <v>2</v>
      </c>
      <c r="O9" s="69">
        <v>2</v>
      </c>
    </row>
    <row r="10" spans="1:20" ht="20.100000000000001" customHeight="1" x14ac:dyDescent="0.25">
      <c r="A10" s="72" t="s">
        <v>311</v>
      </c>
      <c r="B10" s="70" t="s">
        <v>309</v>
      </c>
      <c r="C10" s="70">
        <v>1.5</v>
      </c>
      <c r="D10" s="70">
        <v>2</v>
      </c>
      <c r="E10" s="70">
        <v>2</v>
      </c>
      <c r="F10" s="70">
        <v>2</v>
      </c>
      <c r="G10" s="70">
        <v>2</v>
      </c>
      <c r="H10" s="70">
        <v>2.5</v>
      </c>
      <c r="I10" s="70">
        <v>2.5</v>
      </c>
      <c r="J10" s="70">
        <v>2.5</v>
      </c>
      <c r="K10" s="70">
        <v>2.5</v>
      </c>
      <c r="L10" s="70">
        <v>2.5</v>
      </c>
      <c r="M10" s="70">
        <v>2.5</v>
      </c>
      <c r="N10" s="70">
        <v>2.5</v>
      </c>
      <c r="O10" s="69">
        <v>2.5</v>
      </c>
    </row>
    <row r="11" spans="1:20" ht="20.100000000000001" customHeight="1" x14ac:dyDescent="0.25">
      <c r="A11" s="71" t="s">
        <v>310</v>
      </c>
      <c r="B11" s="70" t="s">
        <v>309</v>
      </c>
      <c r="C11" s="70">
        <v>2</v>
      </c>
      <c r="D11" s="70">
        <v>2.5</v>
      </c>
      <c r="E11" s="70">
        <v>2.5</v>
      </c>
      <c r="F11" s="70">
        <v>2.5</v>
      </c>
      <c r="G11" s="70">
        <v>3</v>
      </c>
      <c r="H11" s="70">
        <v>3</v>
      </c>
      <c r="I11" s="70">
        <v>3</v>
      </c>
      <c r="J11" s="70">
        <v>3</v>
      </c>
      <c r="K11" s="70">
        <v>3.5</v>
      </c>
      <c r="L11" s="70">
        <v>3.5</v>
      </c>
      <c r="M11" s="70">
        <v>3.5</v>
      </c>
      <c r="N11" s="70">
        <v>3.5</v>
      </c>
      <c r="O11" s="69">
        <v>3.5</v>
      </c>
    </row>
    <row r="12" spans="1:20" ht="20.100000000000001" customHeight="1" x14ac:dyDescent="0.25">
      <c r="A12" s="71" t="s">
        <v>308</v>
      </c>
      <c r="B12" s="70" t="s">
        <v>307</v>
      </c>
      <c r="C12" s="70">
        <v>2.5</v>
      </c>
      <c r="D12" s="70">
        <v>3</v>
      </c>
      <c r="E12" s="70">
        <v>3</v>
      </c>
      <c r="F12" s="70">
        <v>3.5</v>
      </c>
      <c r="G12" s="70">
        <v>3.5</v>
      </c>
      <c r="H12" s="70">
        <v>4</v>
      </c>
      <c r="I12" s="70">
        <v>4</v>
      </c>
      <c r="J12" s="70">
        <v>4</v>
      </c>
      <c r="K12" s="70">
        <v>4</v>
      </c>
      <c r="L12" s="70">
        <v>4.5</v>
      </c>
      <c r="M12" s="70">
        <v>4.5</v>
      </c>
      <c r="N12" s="70">
        <v>4.5</v>
      </c>
      <c r="O12" s="69">
        <v>4.5</v>
      </c>
    </row>
    <row r="13" spans="1:20" ht="20.100000000000001" customHeight="1" x14ac:dyDescent="0.25">
      <c r="A13" s="71" t="s">
        <v>306</v>
      </c>
      <c r="B13" s="70" t="s">
        <v>304</v>
      </c>
      <c r="C13" s="70">
        <v>3</v>
      </c>
      <c r="D13" s="70">
        <v>3.5</v>
      </c>
      <c r="E13" s="70">
        <v>3.5</v>
      </c>
      <c r="F13" s="70">
        <v>4</v>
      </c>
      <c r="G13" s="70">
        <v>4.5</v>
      </c>
      <c r="H13" s="70">
        <v>4.5</v>
      </c>
      <c r="I13" s="70">
        <v>5</v>
      </c>
      <c r="J13" s="70">
        <v>5</v>
      </c>
      <c r="K13" s="70">
        <v>5</v>
      </c>
      <c r="L13" s="70">
        <v>5</v>
      </c>
      <c r="M13" s="70">
        <v>5.5</v>
      </c>
      <c r="N13" s="70">
        <v>5.5</v>
      </c>
      <c r="O13" s="69">
        <v>5.5</v>
      </c>
    </row>
    <row r="14" spans="1:20" ht="20.100000000000001" customHeight="1" x14ac:dyDescent="0.25">
      <c r="A14" s="71" t="s">
        <v>305</v>
      </c>
      <c r="B14" s="70" t="s">
        <v>304</v>
      </c>
      <c r="C14" s="70">
        <v>3</v>
      </c>
      <c r="D14" s="70">
        <v>3.5</v>
      </c>
      <c r="E14" s="70">
        <v>4</v>
      </c>
      <c r="F14" s="70">
        <v>4.5</v>
      </c>
      <c r="G14" s="70">
        <v>4.5</v>
      </c>
      <c r="H14" s="70">
        <v>5</v>
      </c>
      <c r="I14" s="70">
        <v>5</v>
      </c>
      <c r="J14" s="70">
        <v>5.5</v>
      </c>
      <c r="K14" s="70">
        <v>5.5</v>
      </c>
      <c r="L14" s="70">
        <v>5.5</v>
      </c>
      <c r="M14" s="70">
        <v>6</v>
      </c>
      <c r="N14" s="70">
        <v>6</v>
      </c>
      <c r="O14" s="69">
        <v>6</v>
      </c>
    </row>
    <row r="15" spans="1:20" ht="20.100000000000001" customHeight="1" x14ac:dyDescent="0.25">
      <c r="A15" s="68" t="s">
        <v>303</v>
      </c>
      <c r="B15" s="67" t="s">
        <v>302</v>
      </c>
      <c r="C15" s="67">
        <v>3.5</v>
      </c>
      <c r="D15" s="67">
        <v>4</v>
      </c>
      <c r="E15" s="67">
        <v>4.5</v>
      </c>
      <c r="F15" s="67">
        <v>5</v>
      </c>
      <c r="G15" s="67">
        <v>5.5</v>
      </c>
      <c r="H15" s="67">
        <v>5.5</v>
      </c>
      <c r="I15" s="67">
        <v>6</v>
      </c>
      <c r="J15" s="67">
        <v>6</v>
      </c>
      <c r="K15" s="67">
        <v>6.5</v>
      </c>
      <c r="L15" s="67">
        <v>6.5</v>
      </c>
      <c r="M15" s="67">
        <v>7</v>
      </c>
      <c r="N15" s="67">
        <v>7</v>
      </c>
      <c r="O15" s="66">
        <v>7</v>
      </c>
    </row>
    <row r="17" spans="17:18" ht="14.4" x14ac:dyDescent="0.25">
      <c r="Q17" s="65" t="s">
        <v>301</v>
      </c>
      <c r="R17" s="65" t="s">
        <v>300</v>
      </c>
    </row>
    <row r="18" spans="17:18" ht="20.100000000000001" customHeight="1" x14ac:dyDescent="0.3">
      <c r="Q18" s="64" t="s">
        <v>299</v>
      </c>
      <c r="R18" s="64" t="s">
        <v>298</v>
      </c>
    </row>
    <row r="19" spans="17:18" ht="20.100000000000001" customHeight="1" x14ac:dyDescent="0.3">
      <c r="Q19" s="64" t="s">
        <v>297</v>
      </c>
      <c r="R19" s="64" t="s">
        <v>296</v>
      </c>
    </row>
    <row r="20" spans="17:18" ht="33.75" customHeight="1" x14ac:dyDescent="0.25">
      <c r="Q20" s="63"/>
      <c r="R20" s="43"/>
    </row>
  </sheetData>
  <mergeCells count="18">
    <mergeCell ref="A3:A5"/>
    <mergeCell ref="B3:O3"/>
    <mergeCell ref="B4:B5"/>
    <mergeCell ref="C4:C5"/>
    <mergeCell ref="D4:D5"/>
    <mergeCell ref="E4:E5"/>
    <mergeCell ref="F4:F5"/>
    <mergeCell ref="G4:G5"/>
    <mergeCell ref="H4:H5"/>
    <mergeCell ref="I4:I5"/>
    <mergeCell ref="S7:S8"/>
    <mergeCell ref="T7:T8"/>
    <mergeCell ref="J4:J5"/>
    <mergeCell ref="K4:K5"/>
    <mergeCell ref="L4:L5"/>
    <mergeCell ref="M4:M5"/>
    <mergeCell ref="N4:N5"/>
    <mergeCell ref="O4:O5"/>
  </mergeCells>
  <pageMargins left="0.511811024" right="0.511811024" top="0.78740157499999996" bottom="0.78740157499999996" header="0.31496062000000002" footer="0.31496062000000002"/>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18"/>
  <dimension ref="A1:A10"/>
  <sheetViews>
    <sheetView workbookViewId="0">
      <selection activeCell="L27" sqref="L27"/>
    </sheetView>
  </sheetViews>
  <sheetFormatPr defaultColWidth="8.88671875" defaultRowHeight="13.2" x14ac:dyDescent="0.25"/>
  <cols>
    <col min="1" max="1" width="16.33203125" customWidth="1"/>
  </cols>
  <sheetData>
    <row r="1" spans="1:1" x14ac:dyDescent="0.25">
      <c r="A1" t="s">
        <v>396</v>
      </c>
    </row>
    <row r="2" spans="1:1" x14ac:dyDescent="0.25">
      <c r="A2" s="101">
        <v>2.5000000000000001E-2</v>
      </c>
    </row>
    <row r="3" spans="1:1" x14ac:dyDescent="0.25">
      <c r="A3" s="101">
        <v>3.7999999999999999E-2</v>
      </c>
    </row>
    <row r="4" spans="1:1" x14ac:dyDescent="0.25">
      <c r="A4" s="101">
        <v>0.05</v>
      </c>
    </row>
    <row r="5" spans="1:1" x14ac:dyDescent="0.25">
      <c r="A5" s="101">
        <v>6.3E-2</v>
      </c>
    </row>
    <row r="6" spans="1:1" x14ac:dyDescent="0.25">
      <c r="A6" s="101">
        <v>7.4999999999999997E-2</v>
      </c>
    </row>
    <row r="7" spans="1:1" x14ac:dyDescent="0.25">
      <c r="A7" s="101">
        <v>8.3000000000000004E-2</v>
      </c>
    </row>
    <row r="8" spans="1:1" x14ac:dyDescent="0.25">
      <c r="A8" s="101">
        <v>0.1</v>
      </c>
    </row>
    <row r="9" spans="1:1" x14ac:dyDescent="0.25">
      <c r="A9" s="101">
        <v>0.115</v>
      </c>
    </row>
    <row r="10" spans="1:1" x14ac:dyDescent="0.25">
      <c r="A10" s="101">
        <v>0.125</v>
      </c>
    </row>
  </sheetData>
  <pageMargins left="0.511811024" right="0.511811024" top="0.78740157499999996" bottom="0.78740157499999996" header="0.31496062000000002" footer="0.31496062000000002"/>
  <pageSetup paperSize="9"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19">
    <pageSetUpPr fitToPage="1"/>
  </sheetPr>
  <dimension ref="A1:Z88"/>
  <sheetViews>
    <sheetView showGridLines="0" zoomScale="85" zoomScaleNormal="85" zoomScaleSheetLayoutView="100" workbookViewId="0">
      <pane ySplit="9" topLeftCell="A42" activePane="bottomLeft" state="frozen"/>
      <selection activeCell="L41" sqref="L41"/>
      <selection pane="bottomLeft" activeCell="L41" sqref="L41"/>
    </sheetView>
  </sheetViews>
  <sheetFormatPr defaultColWidth="11.44140625" defaultRowHeight="13.2" x14ac:dyDescent="0.25"/>
  <cols>
    <col min="1" max="1" width="6" style="4" customWidth="1"/>
    <col min="2" max="2" width="28.6640625" style="4" bestFit="1" customWidth="1"/>
    <col min="3" max="5" width="13.109375" style="4" customWidth="1"/>
    <col min="6" max="6" width="7.44140625" style="4" bestFit="1" customWidth="1"/>
    <col min="7" max="7" width="6.6640625" style="4" customWidth="1"/>
    <col min="8" max="8" width="5" style="4" customWidth="1"/>
    <col min="9" max="9" width="5.6640625" style="4" customWidth="1"/>
    <col min="10" max="10" width="5.109375" style="4" customWidth="1"/>
    <col min="11" max="11" width="4.6640625" style="4" customWidth="1"/>
    <col min="12" max="12" width="8.109375" style="4" customWidth="1"/>
    <col min="13" max="14" width="10.88671875" style="4" customWidth="1"/>
    <col min="15" max="15" width="6.44140625" style="4" customWidth="1"/>
    <col min="16" max="17" width="7.44140625" style="4" customWidth="1"/>
    <col min="18" max="18" width="5.88671875" style="4" customWidth="1"/>
    <col min="19" max="19" width="6.44140625" style="4" customWidth="1"/>
    <col min="20" max="20" width="5.88671875" style="4" customWidth="1"/>
    <col min="21" max="21" width="5.109375" style="4" customWidth="1"/>
    <col min="22" max="22" width="12.88671875" style="4" customWidth="1"/>
    <col min="23" max="23" width="23.88671875" style="4" bestFit="1" customWidth="1"/>
    <col min="24" max="24" width="20.6640625" style="4" customWidth="1"/>
    <col min="25" max="25" width="23.6640625" style="4" customWidth="1"/>
    <col min="26" max="26" width="5.44140625" style="4" customWidth="1"/>
    <col min="27" max="259" width="11.44140625" style="4"/>
    <col min="260" max="260" width="6" style="4" customWidth="1"/>
    <col min="261" max="261" width="15.6640625" style="4" customWidth="1"/>
    <col min="262" max="263" width="13.109375" style="4" customWidth="1"/>
    <col min="264" max="264" width="6.44140625" style="4" customWidth="1"/>
    <col min="265" max="265" width="6.6640625" style="4" customWidth="1"/>
    <col min="266" max="266" width="5" style="4" customWidth="1"/>
    <col min="267" max="267" width="5.6640625" style="4" customWidth="1"/>
    <col min="268" max="268" width="5.109375" style="4" customWidth="1"/>
    <col min="269" max="269" width="4.6640625" style="4" customWidth="1"/>
    <col min="270" max="270" width="8.109375" style="4" customWidth="1"/>
    <col min="271" max="271" width="10.88671875" style="4" customWidth="1"/>
    <col min="272" max="272" width="6.44140625" style="4" customWidth="1"/>
    <col min="273" max="273" width="7.44140625" style="4" customWidth="1"/>
    <col min="274" max="274" width="5.88671875" style="4" customWidth="1"/>
    <col min="275" max="275" width="6.44140625" style="4" customWidth="1"/>
    <col min="276" max="276" width="5.88671875" style="4" customWidth="1"/>
    <col min="277" max="277" width="5.109375" style="4" customWidth="1"/>
    <col min="278" max="278" width="12.88671875" style="4" customWidth="1"/>
    <col min="279" max="279" width="15" style="4" customWidth="1"/>
    <col min="280" max="280" width="20.6640625" style="4" customWidth="1"/>
    <col min="281" max="281" width="23.6640625" style="4" customWidth="1"/>
    <col min="282" max="282" width="5.44140625" style="4" customWidth="1"/>
    <col min="283" max="515" width="11.44140625" style="4"/>
    <col min="516" max="516" width="6" style="4" customWidth="1"/>
    <col min="517" max="517" width="15.6640625" style="4" customWidth="1"/>
    <col min="518" max="519" width="13.109375" style="4" customWidth="1"/>
    <col min="520" max="520" width="6.44140625" style="4" customWidth="1"/>
    <col min="521" max="521" width="6.6640625" style="4" customWidth="1"/>
    <col min="522" max="522" width="5" style="4" customWidth="1"/>
    <col min="523" max="523" width="5.6640625" style="4" customWidth="1"/>
    <col min="524" max="524" width="5.109375" style="4" customWidth="1"/>
    <col min="525" max="525" width="4.6640625" style="4" customWidth="1"/>
    <col min="526" max="526" width="8.109375" style="4" customWidth="1"/>
    <col min="527" max="527" width="10.88671875" style="4" customWidth="1"/>
    <col min="528" max="528" width="6.44140625" style="4" customWidth="1"/>
    <col min="529" max="529" width="7.44140625" style="4" customWidth="1"/>
    <col min="530" max="530" width="5.88671875" style="4" customWidth="1"/>
    <col min="531" max="531" width="6.44140625" style="4" customWidth="1"/>
    <col min="532" max="532" width="5.88671875" style="4" customWidth="1"/>
    <col min="533" max="533" width="5.109375" style="4" customWidth="1"/>
    <col min="534" max="534" width="12.88671875" style="4" customWidth="1"/>
    <col min="535" max="535" width="15" style="4" customWidth="1"/>
    <col min="536" max="536" width="20.6640625" style="4" customWidth="1"/>
    <col min="537" max="537" width="23.6640625" style="4" customWidth="1"/>
    <col min="538" max="538" width="5.44140625" style="4" customWidth="1"/>
    <col min="539" max="771" width="11.44140625" style="4"/>
    <col min="772" max="772" width="6" style="4" customWidth="1"/>
    <col min="773" max="773" width="15.6640625" style="4" customWidth="1"/>
    <col min="774" max="775" width="13.109375" style="4" customWidth="1"/>
    <col min="776" max="776" width="6.44140625" style="4" customWidth="1"/>
    <col min="777" max="777" width="6.6640625" style="4" customWidth="1"/>
    <col min="778" max="778" width="5" style="4" customWidth="1"/>
    <col min="779" max="779" width="5.6640625" style="4" customWidth="1"/>
    <col min="780" max="780" width="5.109375" style="4" customWidth="1"/>
    <col min="781" max="781" width="4.6640625" style="4" customWidth="1"/>
    <col min="782" max="782" width="8.109375" style="4" customWidth="1"/>
    <col min="783" max="783" width="10.88671875" style="4" customWidth="1"/>
    <col min="784" max="784" width="6.44140625" style="4" customWidth="1"/>
    <col min="785" max="785" width="7.44140625" style="4" customWidth="1"/>
    <col min="786" max="786" width="5.88671875" style="4" customWidth="1"/>
    <col min="787" max="787" width="6.44140625" style="4" customWidth="1"/>
    <col min="788" max="788" width="5.88671875" style="4" customWidth="1"/>
    <col min="789" max="789" width="5.109375" style="4" customWidth="1"/>
    <col min="790" max="790" width="12.88671875" style="4" customWidth="1"/>
    <col min="791" max="791" width="15" style="4" customWidth="1"/>
    <col min="792" max="792" width="20.6640625" style="4" customWidth="1"/>
    <col min="793" max="793" width="23.6640625" style="4" customWidth="1"/>
    <col min="794" max="794" width="5.44140625" style="4" customWidth="1"/>
    <col min="795" max="1027" width="11.44140625" style="4"/>
    <col min="1028" max="1028" width="6" style="4" customWidth="1"/>
    <col min="1029" max="1029" width="15.6640625" style="4" customWidth="1"/>
    <col min="1030" max="1031" width="13.109375" style="4" customWidth="1"/>
    <col min="1032" max="1032" width="6.44140625" style="4" customWidth="1"/>
    <col min="1033" max="1033" width="6.6640625" style="4" customWidth="1"/>
    <col min="1034" max="1034" width="5" style="4" customWidth="1"/>
    <col min="1035" max="1035" width="5.6640625" style="4" customWidth="1"/>
    <col min="1036" max="1036" width="5.109375" style="4" customWidth="1"/>
    <col min="1037" max="1037" width="4.6640625" style="4" customWidth="1"/>
    <col min="1038" max="1038" width="8.109375" style="4" customWidth="1"/>
    <col min="1039" max="1039" width="10.88671875" style="4" customWidth="1"/>
    <col min="1040" max="1040" width="6.44140625" style="4" customWidth="1"/>
    <col min="1041" max="1041" width="7.44140625" style="4" customWidth="1"/>
    <col min="1042" max="1042" width="5.88671875" style="4" customWidth="1"/>
    <col min="1043" max="1043" width="6.44140625" style="4" customWidth="1"/>
    <col min="1044" max="1044" width="5.88671875" style="4" customWidth="1"/>
    <col min="1045" max="1045" width="5.109375" style="4" customWidth="1"/>
    <col min="1046" max="1046" width="12.88671875" style="4" customWidth="1"/>
    <col min="1047" max="1047" width="15" style="4" customWidth="1"/>
    <col min="1048" max="1048" width="20.6640625" style="4" customWidth="1"/>
    <col min="1049" max="1049" width="23.6640625" style="4" customWidth="1"/>
    <col min="1050" max="1050" width="5.44140625" style="4" customWidth="1"/>
    <col min="1051" max="1283" width="11.44140625" style="4"/>
    <col min="1284" max="1284" width="6" style="4" customWidth="1"/>
    <col min="1285" max="1285" width="15.6640625" style="4" customWidth="1"/>
    <col min="1286" max="1287" width="13.109375" style="4" customWidth="1"/>
    <col min="1288" max="1288" width="6.44140625" style="4" customWidth="1"/>
    <col min="1289" max="1289" width="6.6640625" style="4" customWidth="1"/>
    <col min="1290" max="1290" width="5" style="4" customWidth="1"/>
    <col min="1291" max="1291" width="5.6640625" style="4" customWidth="1"/>
    <col min="1292" max="1292" width="5.109375" style="4" customWidth="1"/>
    <col min="1293" max="1293" width="4.6640625" style="4" customWidth="1"/>
    <col min="1294" max="1294" width="8.109375" style="4" customWidth="1"/>
    <col min="1295" max="1295" width="10.88671875" style="4" customWidth="1"/>
    <col min="1296" max="1296" width="6.44140625" style="4" customWidth="1"/>
    <col min="1297" max="1297" width="7.44140625" style="4" customWidth="1"/>
    <col min="1298" max="1298" width="5.88671875" style="4" customWidth="1"/>
    <col min="1299" max="1299" width="6.44140625" style="4" customWidth="1"/>
    <col min="1300" max="1300" width="5.88671875" style="4" customWidth="1"/>
    <col min="1301" max="1301" width="5.109375" style="4" customWidth="1"/>
    <col min="1302" max="1302" width="12.88671875" style="4" customWidth="1"/>
    <col min="1303" max="1303" width="15" style="4" customWidth="1"/>
    <col min="1304" max="1304" width="20.6640625" style="4" customWidth="1"/>
    <col min="1305" max="1305" width="23.6640625" style="4" customWidth="1"/>
    <col min="1306" max="1306" width="5.44140625" style="4" customWidth="1"/>
    <col min="1307" max="1539" width="11.44140625" style="4"/>
    <col min="1540" max="1540" width="6" style="4" customWidth="1"/>
    <col min="1541" max="1541" width="15.6640625" style="4" customWidth="1"/>
    <col min="1542" max="1543" width="13.109375" style="4" customWidth="1"/>
    <col min="1544" max="1544" width="6.44140625" style="4" customWidth="1"/>
    <col min="1545" max="1545" width="6.6640625" style="4" customWidth="1"/>
    <col min="1546" max="1546" width="5" style="4" customWidth="1"/>
    <col min="1547" max="1547" width="5.6640625" style="4" customWidth="1"/>
    <col min="1548" max="1548" width="5.109375" style="4" customWidth="1"/>
    <col min="1549" max="1549" width="4.6640625" style="4" customWidth="1"/>
    <col min="1550" max="1550" width="8.109375" style="4" customWidth="1"/>
    <col min="1551" max="1551" width="10.88671875" style="4" customWidth="1"/>
    <col min="1552" max="1552" width="6.44140625" style="4" customWidth="1"/>
    <col min="1553" max="1553" width="7.44140625" style="4" customWidth="1"/>
    <col min="1554" max="1554" width="5.88671875" style="4" customWidth="1"/>
    <col min="1555" max="1555" width="6.44140625" style="4" customWidth="1"/>
    <col min="1556" max="1556" width="5.88671875" style="4" customWidth="1"/>
    <col min="1557" max="1557" width="5.109375" style="4" customWidth="1"/>
    <col min="1558" max="1558" width="12.88671875" style="4" customWidth="1"/>
    <col min="1559" max="1559" width="15" style="4" customWidth="1"/>
    <col min="1560" max="1560" width="20.6640625" style="4" customWidth="1"/>
    <col min="1561" max="1561" width="23.6640625" style="4" customWidth="1"/>
    <col min="1562" max="1562" width="5.44140625" style="4" customWidth="1"/>
    <col min="1563" max="1795" width="11.44140625" style="4"/>
    <col min="1796" max="1796" width="6" style="4" customWidth="1"/>
    <col min="1797" max="1797" width="15.6640625" style="4" customWidth="1"/>
    <col min="1798" max="1799" width="13.109375" style="4" customWidth="1"/>
    <col min="1800" max="1800" width="6.44140625" style="4" customWidth="1"/>
    <col min="1801" max="1801" width="6.6640625" style="4" customWidth="1"/>
    <col min="1802" max="1802" width="5" style="4" customWidth="1"/>
    <col min="1803" max="1803" width="5.6640625" style="4" customWidth="1"/>
    <col min="1804" max="1804" width="5.109375" style="4" customWidth="1"/>
    <col min="1805" max="1805" width="4.6640625" style="4" customWidth="1"/>
    <col min="1806" max="1806" width="8.109375" style="4" customWidth="1"/>
    <col min="1807" max="1807" width="10.88671875" style="4" customWidth="1"/>
    <col min="1808" max="1808" width="6.44140625" style="4" customWidth="1"/>
    <col min="1809" max="1809" width="7.44140625" style="4" customWidth="1"/>
    <col min="1810" max="1810" width="5.88671875" style="4" customWidth="1"/>
    <col min="1811" max="1811" width="6.44140625" style="4" customWidth="1"/>
    <col min="1812" max="1812" width="5.88671875" style="4" customWidth="1"/>
    <col min="1813" max="1813" width="5.109375" style="4" customWidth="1"/>
    <col min="1814" max="1814" width="12.88671875" style="4" customWidth="1"/>
    <col min="1815" max="1815" width="15" style="4" customWidth="1"/>
    <col min="1816" max="1816" width="20.6640625" style="4" customWidth="1"/>
    <col min="1817" max="1817" width="23.6640625" style="4" customWidth="1"/>
    <col min="1818" max="1818" width="5.44140625" style="4" customWidth="1"/>
    <col min="1819" max="2051" width="11.44140625" style="4"/>
    <col min="2052" max="2052" width="6" style="4" customWidth="1"/>
    <col min="2053" max="2053" width="15.6640625" style="4" customWidth="1"/>
    <col min="2054" max="2055" width="13.109375" style="4" customWidth="1"/>
    <col min="2056" max="2056" width="6.44140625" style="4" customWidth="1"/>
    <col min="2057" max="2057" width="6.6640625" style="4" customWidth="1"/>
    <col min="2058" max="2058" width="5" style="4" customWidth="1"/>
    <col min="2059" max="2059" width="5.6640625" style="4" customWidth="1"/>
    <col min="2060" max="2060" width="5.109375" style="4" customWidth="1"/>
    <col min="2061" max="2061" width="4.6640625" style="4" customWidth="1"/>
    <col min="2062" max="2062" width="8.109375" style="4" customWidth="1"/>
    <col min="2063" max="2063" width="10.88671875" style="4" customWidth="1"/>
    <col min="2064" max="2064" width="6.44140625" style="4" customWidth="1"/>
    <col min="2065" max="2065" width="7.44140625" style="4" customWidth="1"/>
    <col min="2066" max="2066" width="5.88671875" style="4" customWidth="1"/>
    <col min="2067" max="2067" width="6.44140625" style="4" customWidth="1"/>
    <col min="2068" max="2068" width="5.88671875" style="4" customWidth="1"/>
    <col min="2069" max="2069" width="5.109375" style="4" customWidth="1"/>
    <col min="2070" max="2070" width="12.88671875" style="4" customWidth="1"/>
    <col min="2071" max="2071" width="15" style="4" customWidth="1"/>
    <col min="2072" max="2072" width="20.6640625" style="4" customWidth="1"/>
    <col min="2073" max="2073" width="23.6640625" style="4" customWidth="1"/>
    <col min="2074" max="2074" width="5.44140625" style="4" customWidth="1"/>
    <col min="2075" max="2307" width="11.44140625" style="4"/>
    <col min="2308" max="2308" width="6" style="4" customWidth="1"/>
    <col min="2309" max="2309" width="15.6640625" style="4" customWidth="1"/>
    <col min="2310" max="2311" width="13.109375" style="4" customWidth="1"/>
    <col min="2312" max="2312" width="6.44140625" style="4" customWidth="1"/>
    <col min="2313" max="2313" width="6.6640625" style="4" customWidth="1"/>
    <col min="2314" max="2314" width="5" style="4" customWidth="1"/>
    <col min="2315" max="2315" width="5.6640625" style="4" customWidth="1"/>
    <col min="2316" max="2316" width="5.109375" style="4" customWidth="1"/>
    <col min="2317" max="2317" width="4.6640625" style="4" customWidth="1"/>
    <col min="2318" max="2318" width="8.109375" style="4" customWidth="1"/>
    <col min="2319" max="2319" width="10.88671875" style="4" customWidth="1"/>
    <col min="2320" max="2320" width="6.44140625" style="4" customWidth="1"/>
    <col min="2321" max="2321" width="7.44140625" style="4" customWidth="1"/>
    <col min="2322" max="2322" width="5.88671875" style="4" customWidth="1"/>
    <col min="2323" max="2323" width="6.44140625" style="4" customWidth="1"/>
    <col min="2324" max="2324" width="5.88671875" style="4" customWidth="1"/>
    <col min="2325" max="2325" width="5.109375" style="4" customWidth="1"/>
    <col min="2326" max="2326" width="12.88671875" style="4" customWidth="1"/>
    <col min="2327" max="2327" width="15" style="4" customWidth="1"/>
    <col min="2328" max="2328" width="20.6640625" style="4" customWidth="1"/>
    <col min="2329" max="2329" width="23.6640625" style="4" customWidth="1"/>
    <col min="2330" max="2330" width="5.44140625" style="4" customWidth="1"/>
    <col min="2331" max="2563" width="11.44140625" style="4"/>
    <col min="2564" max="2564" width="6" style="4" customWidth="1"/>
    <col min="2565" max="2565" width="15.6640625" style="4" customWidth="1"/>
    <col min="2566" max="2567" width="13.109375" style="4" customWidth="1"/>
    <col min="2568" max="2568" width="6.44140625" style="4" customWidth="1"/>
    <col min="2569" max="2569" width="6.6640625" style="4" customWidth="1"/>
    <col min="2570" max="2570" width="5" style="4" customWidth="1"/>
    <col min="2571" max="2571" width="5.6640625" style="4" customWidth="1"/>
    <col min="2572" max="2572" width="5.109375" style="4" customWidth="1"/>
    <col min="2573" max="2573" width="4.6640625" style="4" customWidth="1"/>
    <col min="2574" max="2574" width="8.109375" style="4" customWidth="1"/>
    <col min="2575" max="2575" width="10.88671875" style="4" customWidth="1"/>
    <col min="2576" max="2576" width="6.44140625" style="4" customWidth="1"/>
    <col min="2577" max="2577" width="7.44140625" style="4" customWidth="1"/>
    <col min="2578" max="2578" width="5.88671875" style="4" customWidth="1"/>
    <col min="2579" max="2579" width="6.44140625" style="4" customWidth="1"/>
    <col min="2580" max="2580" width="5.88671875" style="4" customWidth="1"/>
    <col min="2581" max="2581" width="5.109375" style="4" customWidth="1"/>
    <col min="2582" max="2582" width="12.88671875" style="4" customWidth="1"/>
    <col min="2583" max="2583" width="15" style="4" customWidth="1"/>
    <col min="2584" max="2584" width="20.6640625" style="4" customWidth="1"/>
    <col min="2585" max="2585" width="23.6640625" style="4" customWidth="1"/>
    <col min="2586" max="2586" width="5.44140625" style="4" customWidth="1"/>
    <col min="2587" max="2819" width="11.44140625" style="4"/>
    <col min="2820" max="2820" width="6" style="4" customWidth="1"/>
    <col min="2821" max="2821" width="15.6640625" style="4" customWidth="1"/>
    <col min="2822" max="2823" width="13.109375" style="4" customWidth="1"/>
    <col min="2824" max="2824" width="6.44140625" style="4" customWidth="1"/>
    <col min="2825" max="2825" width="6.6640625" style="4" customWidth="1"/>
    <col min="2826" max="2826" width="5" style="4" customWidth="1"/>
    <col min="2827" max="2827" width="5.6640625" style="4" customWidth="1"/>
    <col min="2828" max="2828" width="5.109375" style="4" customWidth="1"/>
    <col min="2829" max="2829" width="4.6640625" style="4" customWidth="1"/>
    <col min="2830" max="2830" width="8.109375" style="4" customWidth="1"/>
    <col min="2831" max="2831" width="10.88671875" style="4" customWidth="1"/>
    <col min="2832" max="2832" width="6.44140625" style="4" customWidth="1"/>
    <col min="2833" max="2833" width="7.44140625" style="4" customWidth="1"/>
    <col min="2834" max="2834" width="5.88671875" style="4" customWidth="1"/>
    <col min="2835" max="2835" width="6.44140625" style="4" customWidth="1"/>
    <col min="2836" max="2836" width="5.88671875" style="4" customWidth="1"/>
    <col min="2837" max="2837" width="5.109375" style="4" customWidth="1"/>
    <col min="2838" max="2838" width="12.88671875" style="4" customWidth="1"/>
    <col min="2839" max="2839" width="15" style="4" customWidth="1"/>
    <col min="2840" max="2840" width="20.6640625" style="4" customWidth="1"/>
    <col min="2841" max="2841" width="23.6640625" style="4" customWidth="1"/>
    <col min="2842" max="2842" width="5.44140625" style="4" customWidth="1"/>
    <col min="2843" max="3075" width="11.44140625" style="4"/>
    <col min="3076" max="3076" width="6" style="4" customWidth="1"/>
    <col min="3077" max="3077" width="15.6640625" style="4" customWidth="1"/>
    <col min="3078" max="3079" width="13.109375" style="4" customWidth="1"/>
    <col min="3080" max="3080" width="6.44140625" style="4" customWidth="1"/>
    <col min="3081" max="3081" width="6.6640625" style="4" customWidth="1"/>
    <col min="3082" max="3082" width="5" style="4" customWidth="1"/>
    <col min="3083" max="3083" width="5.6640625" style="4" customWidth="1"/>
    <col min="3084" max="3084" width="5.109375" style="4" customWidth="1"/>
    <col min="3085" max="3085" width="4.6640625" style="4" customWidth="1"/>
    <col min="3086" max="3086" width="8.109375" style="4" customWidth="1"/>
    <col min="3087" max="3087" width="10.88671875" style="4" customWidth="1"/>
    <col min="3088" max="3088" width="6.44140625" style="4" customWidth="1"/>
    <col min="3089" max="3089" width="7.44140625" style="4" customWidth="1"/>
    <col min="3090" max="3090" width="5.88671875" style="4" customWidth="1"/>
    <col min="3091" max="3091" width="6.44140625" style="4" customWidth="1"/>
    <col min="3092" max="3092" width="5.88671875" style="4" customWidth="1"/>
    <col min="3093" max="3093" width="5.109375" style="4" customWidth="1"/>
    <col min="3094" max="3094" width="12.88671875" style="4" customWidth="1"/>
    <col min="3095" max="3095" width="15" style="4" customWidth="1"/>
    <col min="3096" max="3096" width="20.6640625" style="4" customWidth="1"/>
    <col min="3097" max="3097" width="23.6640625" style="4" customWidth="1"/>
    <col min="3098" max="3098" width="5.44140625" style="4" customWidth="1"/>
    <col min="3099" max="3331" width="11.44140625" style="4"/>
    <col min="3332" max="3332" width="6" style="4" customWidth="1"/>
    <col min="3333" max="3333" width="15.6640625" style="4" customWidth="1"/>
    <col min="3334" max="3335" width="13.109375" style="4" customWidth="1"/>
    <col min="3336" max="3336" width="6.44140625" style="4" customWidth="1"/>
    <col min="3337" max="3337" width="6.6640625" style="4" customWidth="1"/>
    <col min="3338" max="3338" width="5" style="4" customWidth="1"/>
    <col min="3339" max="3339" width="5.6640625" style="4" customWidth="1"/>
    <col min="3340" max="3340" width="5.109375" style="4" customWidth="1"/>
    <col min="3341" max="3341" width="4.6640625" style="4" customWidth="1"/>
    <col min="3342" max="3342" width="8.109375" style="4" customWidth="1"/>
    <col min="3343" max="3343" width="10.88671875" style="4" customWidth="1"/>
    <col min="3344" max="3344" width="6.44140625" style="4" customWidth="1"/>
    <col min="3345" max="3345" width="7.44140625" style="4" customWidth="1"/>
    <col min="3346" max="3346" width="5.88671875" style="4" customWidth="1"/>
    <col min="3347" max="3347" width="6.44140625" style="4" customWidth="1"/>
    <col min="3348" max="3348" width="5.88671875" style="4" customWidth="1"/>
    <col min="3349" max="3349" width="5.109375" style="4" customWidth="1"/>
    <col min="3350" max="3350" width="12.88671875" style="4" customWidth="1"/>
    <col min="3351" max="3351" width="15" style="4" customWidth="1"/>
    <col min="3352" max="3352" width="20.6640625" style="4" customWidth="1"/>
    <col min="3353" max="3353" width="23.6640625" style="4" customWidth="1"/>
    <col min="3354" max="3354" width="5.44140625" style="4" customWidth="1"/>
    <col min="3355" max="3587" width="11.44140625" style="4"/>
    <col min="3588" max="3588" width="6" style="4" customWidth="1"/>
    <col min="3589" max="3589" width="15.6640625" style="4" customWidth="1"/>
    <col min="3590" max="3591" width="13.109375" style="4" customWidth="1"/>
    <col min="3592" max="3592" width="6.44140625" style="4" customWidth="1"/>
    <col min="3593" max="3593" width="6.6640625" style="4" customWidth="1"/>
    <col min="3594" max="3594" width="5" style="4" customWidth="1"/>
    <col min="3595" max="3595" width="5.6640625" style="4" customWidth="1"/>
    <col min="3596" max="3596" width="5.109375" style="4" customWidth="1"/>
    <col min="3597" max="3597" width="4.6640625" style="4" customWidth="1"/>
    <col min="3598" max="3598" width="8.109375" style="4" customWidth="1"/>
    <col min="3599" max="3599" width="10.88671875" style="4" customWidth="1"/>
    <col min="3600" max="3600" width="6.44140625" style="4" customWidth="1"/>
    <col min="3601" max="3601" width="7.44140625" style="4" customWidth="1"/>
    <col min="3602" max="3602" width="5.88671875" style="4" customWidth="1"/>
    <col min="3603" max="3603" width="6.44140625" style="4" customWidth="1"/>
    <col min="3604" max="3604" width="5.88671875" style="4" customWidth="1"/>
    <col min="3605" max="3605" width="5.109375" style="4" customWidth="1"/>
    <col min="3606" max="3606" width="12.88671875" style="4" customWidth="1"/>
    <col min="3607" max="3607" width="15" style="4" customWidth="1"/>
    <col min="3608" max="3608" width="20.6640625" style="4" customWidth="1"/>
    <col min="3609" max="3609" width="23.6640625" style="4" customWidth="1"/>
    <col min="3610" max="3610" width="5.44140625" style="4" customWidth="1"/>
    <col min="3611" max="3843" width="11.44140625" style="4"/>
    <col min="3844" max="3844" width="6" style="4" customWidth="1"/>
    <col min="3845" max="3845" width="15.6640625" style="4" customWidth="1"/>
    <col min="3846" max="3847" width="13.109375" style="4" customWidth="1"/>
    <col min="3848" max="3848" width="6.44140625" style="4" customWidth="1"/>
    <col min="3849" max="3849" width="6.6640625" style="4" customWidth="1"/>
    <col min="3850" max="3850" width="5" style="4" customWidth="1"/>
    <col min="3851" max="3851" width="5.6640625" style="4" customWidth="1"/>
    <col min="3852" max="3852" width="5.109375" style="4" customWidth="1"/>
    <col min="3853" max="3853" width="4.6640625" style="4" customWidth="1"/>
    <col min="3854" max="3854" width="8.109375" style="4" customWidth="1"/>
    <col min="3855" max="3855" width="10.88671875" style="4" customWidth="1"/>
    <col min="3856" max="3856" width="6.44140625" style="4" customWidth="1"/>
    <col min="3857" max="3857" width="7.44140625" style="4" customWidth="1"/>
    <col min="3858" max="3858" width="5.88671875" style="4" customWidth="1"/>
    <col min="3859" max="3859" width="6.44140625" style="4" customWidth="1"/>
    <col min="3860" max="3860" width="5.88671875" style="4" customWidth="1"/>
    <col min="3861" max="3861" width="5.109375" style="4" customWidth="1"/>
    <col min="3862" max="3862" width="12.88671875" style="4" customWidth="1"/>
    <col min="3863" max="3863" width="15" style="4" customWidth="1"/>
    <col min="3864" max="3864" width="20.6640625" style="4" customWidth="1"/>
    <col min="3865" max="3865" width="23.6640625" style="4" customWidth="1"/>
    <col min="3866" max="3866" width="5.44140625" style="4" customWidth="1"/>
    <col min="3867" max="4099" width="11.44140625" style="4"/>
    <col min="4100" max="4100" width="6" style="4" customWidth="1"/>
    <col min="4101" max="4101" width="15.6640625" style="4" customWidth="1"/>
    <col min="4102" max="4103" width="13.109375" style="4" customWidth="1"/>
    <col min="4104" max="4104" width="6.44140625" style="4" customWidth="1"/>
    <col min="4105" max="4105" width="6.6640625" style="4" customWidth="1"/>
    <col min="4106" max="4106" width="5" style="4" customWidth="1"/>
    <col min="4107" max="4107" width="5.6640625" style="4" customWidth="1"/>
    <col min="4108" max="4108" width="5.109375" style="4" customWidth="1"/>
    <col min="4109" max="4109" width="4.6640625" style="4" customWidth="1"/>
    <col min="4110" max="4110" width="8.109375" style="4" customWidth="1"/>
    <col min="4111" max="4111" width="10.88671875" style="4" customWidth="1"/>
    <col min="4112" max="4112" width="6.44140625" style="4" customWidth="1"/>
    <col min="4113" max="4113" width="7.44140625" style="4" customWidth="1"/>
    <col min="4114" max="4114" width="5.88671875" style="4" customWidth="1"/>
    <col min="4115" max="4115" width="6.44140625" style="4" customWidth="1"/>
    <col min="4116" max="4116" width="5.88671875" style="4" customWidth="1"/>
    <col min="4117" max="4117" width="5.109375" style="4" customWidth="1"/>
    <col min="4118" max="4118" width="12.88671875" style="4" customWidth="1"/>
    <col min="4119" max="4119" width="15" style="4" customWidth="1"/>
    <col min="4120" max="4120" width="20.6640625" style="4" customWidth="1"/>
    <col min="4121" max="4121" width="23.6640625" style="4" customWidth="1"/>
    <col min="4122" max="4122" width="5.44140625" style="4" customWidth="1"/>
    <col min="4123" max="4355" width="11.44140625" style="4"/>
    <col min="4356" max="4356" width="6" style="4" customWidth="1"/>
    <col min="4357" max="4357" width="15.6640625" style="4" customWidth="1"/>
    <col min="4358" max="4359" width="13.109375" style="4" customWidth="1"/>
    <col min="4360" max="4360" width="6.44140625" style="4" customWidth="1"/>
    <col min="4361" max="4361" width="6.6640625" style="4" customWidth="1"/>
    <col min="4362" max="4362" width="5" style="4" customWidth="1"/>
    <col min="4363" max="4363" width="5.6640625" style="4" customWidth="1"/>
    <col min="4364" max="4364" width="5.109375" style="4" customWidth="1"/>
    <col min="4365" max="4365" width="4.6640625" style="4" customWidth="1"/>
    <col min="4366" max="4366" width="8.109375" style="4" customWidth="1"/>
    <col min="4367" max="4367" width="10.88671875" style="4" customWidth="1"/>
    <col min="4368" max="4368" width="6.44140625" style="4" customWidth="1"/>
    <col min="4369" max="4369" width="7.44140625" style="4" customWidth="1"/>
    <col min="4370" max="4370" width="5.88671875" style="4" customWidth="1"/>
    <col min="4371" max="4371" width="6.44140625" style="4" customWidth="1"/>
    <col min="4372" max="4372" width="5.88671875" style="4" customWidth="1"/>
    <col min="4373" max="4373" width="5.109375" style="4" customWidth="1"/>
    <col min="4374" max="4374" width="12.88671875" style="4" customWidth="1"/>
    <col min="4375" max="4375" width="15" style="4" customWidth="1"/>
    <col min="4376" max="4376" width="20.6640625" style="4" customWidth="1"/>
    <col min="4377" max="4377" width="23.6640625" style="4" customWidth="1"/>
    <col min="4378" max="4378" width="5.44140625" style="4" customWidth="1"/>
    <col min="4379" max="4611" width="11.44140625" style="4"/>
    <col min="4612" max="4612" width="6" style="4" customWidth="1"/>
    <col min="4613" max="4613" width="15.6640625" style="4" customWidth="1"/>
    <col min="4614" max="4615" width="13.109375" style="4" customWidth="1"/>
    <col min="4616" max="4616" width="6.44140625" style="4" customWidth="1"/>
    <col min="4617" max="4617" width="6.6640625" style="4" customWidth="1"/>
    <col min="4618" max="4618" width="5" style="4" customWidth="1"/>
    <col min="4619" max="4619" width="5.6640625" style="4" customWidth="1"/>
    <col min="4620" max="4620" width="5.109375" style="4" customWidth="1"/>
    <col min="4621" max="4621" width="4.6640625" style="4" customWidth="1"/>
    <col min="4622" max="4622" width="8.109375" style="4" customWidth="1"/>
    <col min="4623" max="4623" width="10.88671875" style="4" customWidth="1"/>
    <col min="4624" max="4624" width="6.44140625" style="4" customWidth="1"/>
    <col min="4625" max="4625" width="7.44140625" style="4" customWidth="1"/>
    <col min="4626" max="4626" width="5.88671875" style="4" customWidth="1"/>
    <col min="4627" max="4627" width="6.44140625" style="4" customWidth="1"/>
    <col min="4628" max="4628" width="5.88671875" style="4" customWidth="1"/>
    <col min="4629" max="4629" width="5.109375" style="4" customWidth="1"/>
    <col min="4630" max="4630" width="12.88671875" style="4" customWidth="1"/>
    <col min="4631" max="4631" width="15" style="4" customWidth="1"/>
    <col min="4632" max="4632" width="20.6640625" style="4" customWidth="1"/>
    <col min="4633" max="4633" width="23.6640625" style="4" customWidth="1"/>
    <col min="4634" max="4634" width="5.44140625" style="4" customWidth="1"/>
    <col min="4635" max="4867" width="11.44140625" style="4"/>
    <col min="4868" max="4868" width="6" style="4" customWidth="1"/>
    <col min="4869" max="4869" width="15.6640625" style="4" customWidth="1"/>
    <col min="4870" max="4871" width="13.109375" style="4" customWidth="1"/>
    <col min="4872" max="4872" width="6.44140625" style="4" customWidth="1"/>
    <col min="4873" max="4873" width="6.6640625" style="4" customWidth="1"/>
    <col min="4874" max="4874" width="5" style="4" customWidth="1"/>
    <col min="4875" max="4875" width="5.6640625" style="4" customWidth="1"/>
    <col min="4876" max="4876" width="5.109375" style="4" customWidth="1"/>
    <col min="4877" max="4877" width="4.6640625" style="4" customWidth="1"/>
    <col min="4878" max="4878" width="8.109375" style="4" customWidth="1"/>
    <col min="4879" max="4879" width="10.88671875" style="4" customWidth="1"/>
    <col min="4880" max="4880" width="6.44140625" style="4" customWidth="1"/>
    <col min="4881" max="4881" width="7.44140625" style="4" customWidth="1"/>
    <col min="4882" max="4882" width="5.88671875" style="4" customWidth="1"/>
    <col min="4883" max="4883" width="6.44140625" style="4" customWidth="1"/>
    <col min="4884" max="4884" width="5.88671875" style="4" customWidth="1"/>
    <col min="4885" max="4885" width="5.109375" style="4" customWidth="1"/>
    <col min="4886" max="4886" width="12.88671875" style="4" customWidth="1"/>
    <col min="4887" max="4887" width="15" style="4" customWidth="1"/>
    <col min="4888" max="4888" width="20.6640625" style="4" customWidth="1"/>
    <col min="4889" max="4889" width="23.6640625" style="4" customWidth="1"/>
    <col min="4890" max="4890" width="5.44140625" style="4" customWidth="1"/>
    <col min="4891" max="5123" width="11.44140625" style="4"/>
    <col min="5124" max="5124" width="6" style="4" customWidth="1"/>
    <col min="5125" max="5125" width="15.6640625" style="4" customWidth="1"/>
    <col min="5126" max="5127" width="13.109375" style="4" customWidth="1"/>
    <col min="5128" max="5128" width="6.44140625" style="4" customWidth="1"/>
    <col min="5129" max="5129" width="6.6640625" style="4" customWidth="1"/>
    <col min="5130" max="5130" width="5" style="4" customWidth="1"/>
    <col min="5131" max="5131" width="5.6640625" style="4" customWidth="1"/>
    <col min="5132" max="5132" width="5.109375" style="4" customWidth="1"/>
    <col min="5133" max="5133" width="4.6640625" style="4" customWidth="1"/>
    <col min="5134" max="5134" width="8.109375" style="4" customWidth="1"/>
    <col min="5135" max="5135" width="10.88671875" style="4" customWidth="1"/>
    <col min="5136" max="5136" width="6.44140625" style="4" customWidth="1"/>
    <col min="5137" max="5137" width="7.44140625" style="4" customWidth="1"/>
    <col min="5138" max="5138" width="5.88671875" style="4" customWidth="1"/>
    <col min="5139" max="5139" width="6.44140625" style="4" customWidth="1"/>
    <col min="5140" max="5140" width="5.88671875" style="4" customWidth="1"/>
    <col min="5141" max="5141" width="5.109375" style="4" customWidth="1"/>
    <col min="5142" max="5142" width="12.88671875" style="4" customWidth="1"/>
    <col min="5143" max="5143" width="15" style="4" customWidth="1"/>
    <col min="5144" max="5144" width="20.6640625" style="4" customWidth="1"/>
    <col min="5145" max="5145" width="23.6640625" style="4" customWidth="1"/>
    <col min="5146" max="5146" width="5.44140625" style="4" customWidth="1"/>
    <col min="5147" max="5379" width="11.44140625" style="4"/>
    <col min="5380" max="5380" width="6" style="4" customWidth="1"/>
    <col min="5381" max="5381" width="15.6640625" style="4" customWidth="1"/>
    <col min="5382" max="5383" width="13.109375" style="4" customWidth="1"/>
    <col min="5384" max="5384" width="6.44140625" style="4" customWidth="1"/>
    <col min="5385" max="5385" width="6.6640625" style="4" customWidth="1"/>
    <col min="5386" max="5386" width="5" style="4" customWidth="1"/>
    <col min="5387" max="5387" width="5.6640625" style="4" customWidth="1"/>
    <col min="5388" max="5388" width="5.109375" style="4" customWidth="1"/>
    <col min="5389" max="5389" width="4.6640625" style="4" customWidth="1"/>
    <col min="5390" max="5390" width="8.109375" style="4" customWidth="1"/>
    <col min="5391" max="5391" width="10.88671875" style="4" customWidth="1"/>
    <col min="5392" max="5392" width="6.44140625" style="4" customWidth="1"/>
    <col min="5393" max="5393" width="7.44140625" style="4" customWidth="1"/>
    <col min="5394" max="5394" width="5.88671875" style="4" customWidth="1"/>
    <col min="5395" max="5395" width="6.44140625" style="4" customWidth="1"/>
    <col min="5396" max="5396" width="5.88671875" style="4" customWidth="1"/>
    <col min="5397" max="5397" width="5.109375" style="4" customWidth="1"/>
    <col min="5398" max="5398" width="12.88671875" style="4" customWidth="1"/>
    <col min="5399" max="5399" width="15" style="4" customWidth="1"/>
    <col min="5400" max="5400" width="20.6640625" style="4" customWidth="1"/>
    <col min="5401" max="5401" width="23.6640625" style="4" customWidth="1"/>
    <col min="5402" max="5402" width="5.44140625" style="4" customWidth="1"/>
    <col min="5403" max="5635" width="11.44140625" style="4"/>
    <col min="5636" max="5636" width="6" style="4" customWidth="1"/>
    <col min="5637" max="5637" width="15.6640625" style="4" customWidth="1"/>
    <col min="5638" max="5639" width="13.109375" style="4" customWidth="1"/>
    <col min="5640" max="5640" width="6.44140625" style="4" customWidth="1"/>
    <col min="5641" max="5641" width="6.6640625" style="4" customWidth="1"/>
    <col min="5642" max="5642" width="5" style="4" customWidth="1"/>
    <col min="5643" max="5643" width="5.6640625" style="4" customWidth="1"/>
    <col min="5644" max="5644" width="5.109375" style="4" customWidth="1"/>
    <col min="5645" max="5645" width="4.6640625" style="4" customWidth="1"/>
    <col min="5646" max="5646" width="8.109375" style="4" customWidth="1"/>
    <col min="5647" max="5647" width="10.88671875" style="4" customWidth="1"/>
    <col min="5648" max="5648" width="6.44140625" style="4" customWidth="1"/>
    <col min="5649" max="5649" width="7.44140625" style="4" customWidth="1"/>
    <col min="5650" max="5650" width="5.88671875" style="4" customWidth="1"/>
    <col min="5651" max="5651" width="6.44140625" style="4" customWidth="1"/>
    <col min="5652" max="5652" width="5.88671875" style="4" customWidth="1"/>
    <col min="5653" max="5653" width="5.109375" style="4" customWidth="1"/>
    <col min="5654" max="5654" width="12.88671875" style="4" customWidth="1"/>
    <col min="5655" max="5655" width="15" style="4" customWidth="1"/>
    <col min="5656" max="5656" width="20.6640625" style="4" customWidth="1"/>
    <col min="5657" max="5657" width="23.6640625" style="4" customWidth="1"/>
    <col min="5658" max="5658" width="5.44140625" style="4" customWidth="1"/>
    <col min="5659" max="5891" width="11.44140625" style="4"/>
    <col min="5892" max="5892" width="6" style="4" customWidth="1"/>
    <col min="5893" max="5893" width="15.6640625" style="4" customWidth="1"/>
    <col min="5894" max="5895" width="13.109375" style="4" customWidth="1"/>
    <col min="5896" max="5896" width="6.44140625" style="4" customWidth="1"/>
    <col min="5897" max="5897" width="6.6640625" style="4" customWidth="1"/>
    <col min="5898" max="5898" width="5" style="4" customWidth="1"/>
    <col min="5899" max="5899" width="5.6640625" style="4" customWidth="1"/>
    <col min="5900" max="5900" width="5.109375" style="4" customWidth="1"/>
    <col min="5901" max="5901" width="4.6640625" style="4" customWidth="1"/>
    <col min="5902" max="5902" width="8.109375" style="4" customWidth="1"/>
    <col min="5903" max="5903" width="10.88671875" style="4" customWidth="1"/>
    <col min="5904" max="5904" width="6.44140625" style="4" customWidth="1"/>
    <col min="5905" max="5905" width="7.44140625" style="4" customWidth="1"/>
    <col min="5906" max="5906" width="5.88671875" style="4" customWidth="1"/>
    <col min="5907" max="5907" width="6.44140625" style="4" customWidth="1"/>
    <col min="5908" max="5908" width="5.88671875" style="4" customWidth="1"/>
    <col min="5909" max="5909" width="5.109375" style="4" customWidth="1"/>
    <col min="5910" max="5910" width="12.88671875" style="4" customWidth="1"/>
    <col min="5911" max="5911" width="15" style="4" customWidth="1"/>
    <col min="5912" max="5912" width="20.6640625" style="4" customWidth="1"/>
    <col min="5913" max="5913" width="23.6640625" style="4" customWidth="1"/>
    <col min="5914" max="5914" width="5.44140625" style="4" customWidth="1"/>
    <col min="5915" max="6147" width="11.44140625" style="4"/>
    <col min="6148" max="6148" width="6" style="4" customWidth="1"/>
    <col min="6149" max="6149" width="15.6640625" style="4" customWidth="1"/>
    <col min="6150" max="6151" width="13.109375" style="4" customWidth="1"/>
    <col min="6152" max="6152" width="6.44140625" style="4" customWidth="1"/>
    <col min="6153" max="6153" width="6.6640625" style="4" customWidth="1"/>
    <col min="6154" max="6154" width="5" style="4" customWidth="1"/>
    <col min="6155" max="6155" width="5.6640625" style="4" customWidth="1"/>
    <col min="6156" max="6156" width="5.109375" style="4" customWidth="1"/>
    <col min="6157" max="6157" width="4.6640625" style="4" customWidth="1"/>
    <col min="6158" max="6158" width="8.109375" style="4" customWidth="1"/>
    <col min="6159" max="6159" width="10.88671875" style="4" customWidth="1"/>
    <col min="6160" max="6160" width="6.44140625" style="4" customWidth="1"/>
    <col min="6161" max="6161" width="7.44140625" style="4" customWidth="1"/>
    <col min="6162" max="6162" width="5.88671875" style="4" customWidth="1"/>
    <col min="6163" max="6163" width="6.44140625" style="4" customWidth="1"/>
    <col min="6164" max="6164" width="5.88671875" style="4" customWidth="1"/>
    <col min="6165" max="6165" width="5.109375" style="4" customWidth="1"/>
    <col min="6166" max="6166" width="12.88671875" style="4" customWidth="1"/>
    <col min="6167" max="6167" width="15" style="4" customWidth="1"/>
    <col min="6168" max="6168" width="20.6640625" style="4" customWidth="1"/>
    <col min="6169" max="6169" width="23.6640625" style="4" customWidth="1"/>
    <col min="6170" max="6170" width="5.44140625" style="4" customWidth="1"/>
    <col min="6171" max="6403" width="11.44140625" style="4"/>
    <col min="6404" max="6404" width="6" style="4" customWidth="1"/>
    <col min="6405" max="6405" width="15.6640625" style="4" customWidth="1"/>
    <col min="6406" max="6407" width="13.109375" style="4" customWidth="1"/>
    <col min="6408" max="6408" width="6.44140625" style="4" customWidth="1"/>
    <col min="6409" max="6409" width="6.6640625" style="4" customWidth="1"/>
    <col min="6410" max="6410" width="5" style="4" customWidth="1"/>
    <col min="6411" max="6411" width="5.6640625" style="4" customWidth="1"/>
    <col min="6412" max="6412" width="5.109375" style="4" customWidth="1"/>
    <col min="6413" max="6413" width="4.6640625" style="4" customWidth="1"/>
    <col min="6414" max="6414" width="8.109375" style="4" customWidth="1"/>
    <col min="6415" max="6415" width="10.88671875" style="4" customWidth="1"/>
    <col min="6416" max="6416" width="6.44140625" style="4" customWidth="1"/>
    <col min="6417" max="6417" width="7.44140625" style="4" customWidth="1"/>
    <col min="6418" max="6418" width="5.88671875" style="4" customWidth="1"/>
    <col min="6419" max="6419" width="6.44140625" style="4" customWidth="1"/>
    <col min="6420" max="6420" width="5.88671875" style="4" customWidth="1"/>
    <col min="6421" max="6421" width="5.109375" style="4" customWidth="1"/>
    <col min="6422" max="6422" width="12.88671875" style="4" customWidth="1"/>
    <col min="6423" max="6423" width="15" style="4" customWidth="1"/>
    <col min="6424" max="6424" width="20.6640625" style="4" customWidth="1"/>
    <col min="6425" max="6425" width="23.6640625" style="4" customWidth="1"/>
    <col min="6426" max="6426" width="5.44140625" style="4" customWidth="1"/>
    <col min="6427" max="6659" width="11.44140625" style="4"/>
    <col min="6660" max="6660" width="6" style="4" customWidth="1"/>
    <col min="6661" max="6661" width="15.6640625" style="4" customWidth="1"/>
    <col min="6662" max="6663" width="13.109375" style="4" customWidth="1"/>
    <col min="6664" max="6664" width="6.44140625" style="4" customWidth="1"/>
    <col min="6665" max="6665" width="6.6640625" style="4" customWidth="1"/>
    <col min="6666" max="6666" width="5" style="4" customWidth="1"/>
    <col min="6667" max="6667" width="5.6640625" style="4" customWidth="1"/>
    <col min="6668" max="6668" width="5.109375" style="4" customWidth="1"/>
    <col min="6669" max="6669" width="4.6640625" style="4" customWidth="1"/>
    <col min="6670" max="6670" width="8.109375" style="4" customWidth="1"/>
    <col min="6671" max="6671" width="10.88671875" style="4" customWidth="1"/>
    <col min="6672" max="6672" width="6.44140625" style="4" customWidth="1"/>
    <col min="6673" max="6673" width="7.44140625" style="4" customWidth="1"/>
    <col min="6674" max="6674" width="5.88671875" style="4" customWidth="1"/>
    <col min="6675" max="6675" width="6.44140625" style="4" customWidth="1"/>
    <col min="6676" max="6676" width="5.88671875" style="4" customWidth="1"/>
    <col min="6677" max="6677" width="5.109375" style="4" customWidth="1"/>
    <col min="6678" max="6678" width="12.88671875" style="4" customWidth="1"/>
    <col min="6679" max="6679" width="15" style="4" customWidth="1"/>
    <col min="6680" max="6680" width="20.6640625" style="4" customWidth="1"/>
    <col min="6681" max="6681" width="23.6640625" style="4" customWidth="1"/>
    <col min="6682" max="6682" width="5.44140625" style="4" customWidth="1"/>
    <col min="6683" max="6915" width="11.44140625" style="4"/>
    <col min="6916" max="6916" width="6" style="4" customWidth="1"/>
    <col min="6917" max="6917" width="15.6640625" style="4" customWidth="1"/>
    <col min="6918" max="6919" width="13.109375" style="4" customWidth="1"/>
    <col min="6920" max="6920" width="6.44140625" style="4" customWidth="1"/>
    <col min="6921" max="6921" width="6.6640625" style="4" customWidth="1"/>
    <col min="6922" max="6922" width="5" style="4" customWidth="1"/>
    <col min="6923" max="6923" width="5.6640625" style="4" customWidth="1"/>
    <col min="6924" max="6924" width="5.109375" style="4" customWidth="1"/>
    <col min="6925" max="6925" width="4.6640625" style="4" customWidth="1"/>
    <col min="6926" max="6926" width="8.109375" style="4" customWidth="1"/>
    <col min="6927" max="6927" width="10.88671875" style="4" customWidth="1"/>
    <col min="6928" max="6928" width="6.44140625" style="4" customWidth="1"/>
    <col min="6929" max="6929" width="7.44140625" style="4" customWidth="1"/>
    <col min="6930" max="6930" width="5.88671875" style="4" customWidth="1"/>
    <col min="6931" max="6931" width="6.44140625" style="4" customWidth="1"/>
    <col min="6932" max="6932" width="5.88671875" style="4" customWidth="1"/>
    <col min="6933" max="6933" width="5.109375" style="4" customWidth="1"/>
    <col min="6934" max="6934" width="12.88671875" style="4" customWidth="1"/>
    <col min="6935" max="6935" width="15" style="4" customWidth="1"/>
    <col min="6936" max="6936" width="20.6640625" style="4" customWidth="1"/>
    <col min="6937" max="6937" width="23.6640625" style="4" customWidth="1"/>
    <col min="6938" max="6938" width="5.44140625" style="4" customWidth="1"/>
    <col min="6939" max="7171" width="11.44140625" style="4"/>
    <col min="7172" max="7172" width="6" style="4" customWidth="1"/>
    <col min="7173" max="7173" width="15.6640625" style="4" customWidth="1"/>
    <col min="7174" max="7175" width="13.109375" style="4" customWidth="1"/>
    <col min="7176" max="7176" width="6.44140625" style="4" customWidth="1"/>
    <col min="7177" max="7177" width="6.6640625" style="4" customWidth="1"/>
    <col min="7178" max="7178" width="5" style="4" customWidth="1"/>
    <col min="7179" max="7179" width="5.6640625" style="4" customWidth="1"/>
    <col min="7180" max="7180" width="5.109375" style="4" customWidth="1"/>
    <col min="7181" max="7181" width="4.6640625" style="4" customWidth="1"/>
    <col min="7182" max="7182" width="8.109375" style="4" customWidth="1"/>
    <col min="7183" max="7183" width="10.88671875" style="4" customWidth="1"/>
    <col min="7184" max="7184" width="6.44140625" style="4" customWidth="1"/>
    <col min="7185" max="7185" width="7.44140625" style="4" customWidth="1"/>
    <col min="7186" max="7186" width="5.88671875" style="4" customWidth="1"/>
    <col min="7187" max="7187" width="6.44140625" style="4" customWidth="1"/>
    <col min="7188" max="7188" width="5.88671875" style="4" customWidth="1"/>
    <col min="7189" max="7189" width="5.109375" style="4" customWidth="1"/>
    <col min="7190" max="7190" width="12.88671875" style="4" customWidth="1"/>
    <col min="7191" max="7191" width="15" style="4" customWidth="1"/>
    <col min="7192" max="7192" width="20.6640625" style="4" customWidth="1"/>
    <col min="7193" max="7193" width="23.6640625" style="4" customWidth="1"/>
    <col min="7194" max="7194" width="5.44140625" style="4" customWidth="1"/>
    <col min="7195" max="7427" width="11.44140625" style="4"/>
    <col min="7428" max="7428" width="6" style="4" customWidth="1"/>
    <col min="7429" max="7429" width="15.6640625" style="4" customWidth="1"/>
    <col min="7430" max="7431" width="13.109375" style="4" customWidth="1"/>
    <col min="7432" max="7432" width="6.44140625" style="4" customWidth="1"/>
    <col min="7433" max="7433" width="6.6640625" style="4" customWidth="1"/>
    <col min="7434" max="7434" width="5" style="4" customWidth="1"/>
    <col min="7435" max="7435" width="5.6640625" style="4" customWidth="1"/>
    <col min="7436" max="7436" width="5.109375" style="4" customWidth="1"/>
    <col min="7437" max="7437" width="4.6640625" style="4" customWidth="1"/>
    <col min="7438" max="7438" width="8.109375" style="4" customWidth="1"/>
    <col min="7439" max="7439" width="10.88671875" style="4" customWidth="1"/>
    <col min="7440" max="7440" width="6.44140625" style="4" customWidth="1"/>
    <col min="7441" max="7441" width="7.44140625" style="4" customWidth="1"/>
    <col min="7442" max="7442" width="5.88671875" style="4" customWidth="1"/>
    <col min="7443" max="7443" width="6.44140625" style="4" customWidth="1"/>
    <col min="7444" max="7444" width="5.88671875" style="4" customWidth="1"/>
    <col min="7445" max="7445" width="5.109375" style="4" customWidth="1"/>
    <col min="7446" max="7446" width="12.88671875" style="4" customWidth="1"/>
    <col min="7447" max="7447" width="15" style="4" customWidth="1"/>
    <col min="7448" max="7448" width="20.6640625" style="4" customWidth="1"/>
    <col min="7449" max="7449" width="23.6640625" style="4" customWidth="1"/>
    <col min="7450" max="7450" width="5.44140625" style="4" customWidth="1"/>
    <col min="7451" max="7683" width="11.44140625" style="4"/>
    <col min="7684" max="7684" width="6" style="4" customWidth="1"/>
    <col min="7685" max="7685" width="15.6640625" style="4" customWidth="1"/>
    <col min="7686" max="7687" width="13.109375" style="4" customWidth="1"/>
    <col min="7688" max="7688" width="6.44140625" style="4" customWidth="1"/>
    <col min="7689" max="7689" width="6.6640625" style="4" customWidth="1"/>
    <col min="7690" max="7690" width="5" style="4" customWidth="1"/>
    <col min="7691" max="7691" width="5.6640625" style="4" customWidth="1"/>
    <col min="7692" max="7692" width="5.109375" style="4" customWidth="1"/>
    <col min="7693" max="7693" width="4.6640625" style="4" customWidth="1"/>
    <col min="7694" max="7694" width="8.109375" style="4" customWidth="1"/>
    <col min="7695" max="7695" width="10.88671875" style="4" customWidth="1"/>
    <col min="7696" max="7696" width="6.44140625" style="4" customWidth="1"/>
    <col min="7697" max="7697" width="7.44140625" style="4" customWidth="1"/>
    <col min="7698" max="7698" width="5.88671875" style="4" customWidth="1"/>
    <col min="7699" max="7699" width="6.44140625" style="4" customWidth="1"/>
    <col min="7700" max="7700" width="5.88671875" style="4" customWidth="1"/>
    <col min="7701" max="7701" width="5.109375" style="4" customWidth="1"/>
    <col min="7702" max="7702" width="12.88671875" style="4" customWidth="1"/>
    <col min="7703" max="7703" width="15" style="4" customWidth="1"/>
    <col min="7704" max="7704" width="20.6640625" style="4" customWidth="1"/>
    <col min="7705" max="7705" width="23.6640625" style="4" customWidth="1"/>
    <col min="7706" max="7706" width="5.44140625" style="4" customWidth="1"/>
    <col min="7707" max="7939" width="11.44140625" style="4"/>
    <col min="7940" max="7940" width="6" style="4" customWidth="1"/>
    <col min="7941" max="7941" width="15.6640625" style="4" customWidth="1"/>
    <col min="7942" max="7943" width="13.109375" style="4" customWidth="1"/>
    <col min="7944" max="7944" width="6.44140625" style="4" customWidth="1"/>
    <col min="7945" max="7945" width="6.6640625" style="4" customWidth="1"/>
    <col min="7946" max="7946" width="5" style="4" customWidth="1"/>
    <col min="7947" max="7947" width="5.6640625" style="4" customWidth="1"/>
    <col min="7948" max="7948" width="5.109375" style="4" customWidth="1"/>
    <col min="7949" max="7949" width="4.6640625" style="4" customWidth="1"/>
    <col min="7950" max="7950" width="8.109375" style="4" customWidth="1"/>
    <col min="7951" max="7951" width="10.88671875" style="4" customWidth="1"/>
    <col min="7952" max="7952" width="6.44140625" style="4" customWidth="1"/>
    <col min="7953" max="7953" width="7.44140625" style="4" customWidth="1"/>
    <col min="7954" max="7954" width="5.88671875" style="4" customWidth="1"/>
    <col min="7955" max="7955" width="6.44140625" style="4" customWidth="1"/>
    <col min="7956" max="7956" width="5.88671875" style="4" customWidth="1"/>
    <col min="7957" max="7957" width="5.109375" style="4" customWidth="1"/>
    <col min="7958" max="7958" width="12.88671875" style="4" customWidth="1"/>
    <col min="7959" max="7959" width="15" style="4" customWidth="1"/>
    <col min="7960" max="7960" width="20.6640625" style="4" customWidth="1"/>
    <col min="7961" max="7961" width="23.6640625" style="4" customWidth="1"/>
    <col min="7962" max="7962" width="5.44140625" style="4" customWidth="1"/>
    <col min="7963" max="8195" width="11.44140625" style="4"/>
    <col min="8196" max="8196" width="6" style="4" customWidth="1"/>
    <col min="8197" max="8197" width="15.6640625" style="4" customWidth="1"/>
    <col min="8198" max="8199" width="13.109375" style="4" customWidth="1"/>
    <col min="8200" max="8200" width="6.44140625" style="4" customWidth="1"/>
    <col min="8201" max="8201" width="6.6640625" style="4" customWidth="1"/>
    <col min="8202" max="8202" width="5" style="4" customWidth="1"/>
    <col min="8203" max="8203" width="5.6640625" style="4" customWidth="1"/>
    <col min="8204" max="8204" width="5.109375" style="4" customWidth="1"/>
    <col min="8205" max="8205" width="4.6640625" style="4" customWidth="1"/>
    <col min="8206" max="8206" width="8.109375" style="4" customWidth="1"/>
    <col min="8207" max="8207" width="10.88671875" style="4" customWidth="1"/>
    <col min="8208" max="8208" width="6.44140625" style="4" customWidth="1"/>
    <col min="8209" max="8209" width="7.44140625" style="4" customWidth="1"/>
    <col min="8210" max="8210" width="5.88671875" style="4" customWidth="1"/>
    <col min="8211" max="8211" width="6.44140625" style="4" customWidth="1"/>
    <col min="8212" max="8212" width="5.88671875" style="4" customWidth="1"/>
    <col min="8213" max="8213" width="5.109375" style="4" customWidth="1"/>
    <col min="8214" max="8214" width="12.88671875" style="4" customWidth="1"/>
    <col min="8215" max="8215" width="15" style="4" customWidth="1"/>
    <col min="8216" max="8216" width="20.6640625" style="4" customWidth="1"/>
    <col min="8217" max="8217" width="23.6640625" style="4" customWidth="1"/>
    <col min="8218" max="8218" width="5.44140625" style="4" customWidth="1"/>
    <col min="8219" max="8451" width="11.44140625" style="4"/>
    <col min="8452" max="8452" width="6" style="4" customWidth="1"/>
    <col min="8453" max="8453" width="15.6640625" style="4" customWidth="1"/>
    <col min="8454" max="8455" width="13.109375" style="4" customWidth="1"/>
    <col min="8456" max="8456" width="6.44140625" style="4" customWidth="1"/>
    <col min="8457" max="8457" width="6.6640625" style="4" customWidth="1"/>
    <col min="8458" max="8458" width="5" style="4" customWidth="1"/>
    <col min="8459" max="8459" width="5.6640625" style="4" customWidth="1"/>
    <col min="8460" max="8460" width="5.109375" style="4" customWidth="1"/>
    <col min="8461" max="8461" width="4.6640625" style="4" customWidth="1"/>
    <col min="8462" max="8462" width="8.109375" style="4" customWidth="1"/>
    <col min="8463" max="8463" width="10.88671875" style="4" customWidth="1"/>
    <col min="8464" max="8464" width="6.44140625" style="4" customWidth="1"/>
    <col min="8465" max="8465" width="7.44140625" style="4" customWidth="1"/>
    <col min="8466" max="8466" width="5.88671875" style="4" customWidth="1"/>
    <col min="8467" max="8467" width="6.44140625" style="4" customWidth="1"/>
    <col min="8468" max="8468" width="5.88671875" style="4" customWidth="1"/>
    <col min="8469" max="8469" width="5.109375" style="4" customWidth="1"/>
    <col min="8470" max="8470" width="12.88671875" style="4" customWidth="1"/>
    <col min="8471" max="8471" width="15" style="4" customWidth="1"/>
    <col min="8472" max="8472" width="20.6640625" style="4" customWidth="1"/>
    <col min="8473" max="8473" width="23.6640625" style="4" customWidth="1"/>
    <col min="8474" max="8474" width="5.44140625" style="4" customWidth="1"/>
    <col min="8475" max="8707" width="11.44140625" style="4"/>
    <col min="8708" max="8708" width="6" style="4" customWidth="1"/>
    <col min="8709" max="8709" width="15.6640625" style="4" customWidth="1"/>
    <col min="8710" max="8711" width="13.109375" style="4" customWidth="1"/>
    <col min="8712" max="8712" width="6.44140625" style="4" customWidth="1"/>
    <col min="8713" max="8713" width="6.6640625" style="4" customWidth="1"/>
    <col min="8714" max="8714" width="5" style="4" customWidth="1"/>
    <col min="8715" max="8715" width="5.6640625" style="4" customWidth="1"/>
    <col min="8716" max="8716" width="5.109375" style="4" customWidth="1"/>
    <col min="8717" max="8717" width="4.6640625" style="4" customWidth="1"/>
    <col min="8718" max="8718" width="8.109375" style="4" customWidth="1"/>
    <col min="8719" max="8719" width="10.88671875" style="4" customWidth="1"/>
    <col min="8720" max="8720" width="6.44140625" style="4" customWidth="1"/>
    <col min="8721" max="8721" width="7.44140625" style="4" customWidth="1"/>
    <col min="8722" max="8722" width="5.88671875" style="4" customWidth="1"/>
    <col min="8723" max="8723" width="6.44140625" style="4" customWidth="1"/>
    <col min="8724" max="8724" width="5.88671875" style="4" customWidth="1"/>
    <col min="8725" max="8725" width="5.109375" style="4" customWidth="1"/>
    <col min="8726" max="8726" width="12.88671875" style="4" customWidth="1"/>
    <col min="8727" max="8727" width="15" style="4" customWidth="1"/>
    <col min="8728" max="8728" width="20.6640625" style="4" customWidth="1"/>
    <col min="8729" max="8729" width="23.6640625" style="4" customWidth="1"/>
    <col min="8730" max="8730" width="5.44140625" style="4" customWidth="1"/>
    <col min="8731" max="8963" width="11.44140625" style="4"/>
    <col min="8964" max="8964" width="6" style="4" customWidth="1"/>
    <col min="8965" max="8965" width="15.6640625" style="4" customWidth="1"/>
    <col min="8966" max="8967" width="13.109375" style="4" customWidth="1"/>
    <col min="8968" max="8968" width="6.44140625" style="4" customWidth="1"/>
    <col min="8969" max="8969" width="6.6640625" style="4" customWidth="1"/>
    <col min="8970" max="8970" width="5" style="4" customWidth="1"/>
    <col min="8971" max="8971" width="5.6640625" style="4" customWidth="1"/>
    <col min="8972" max="8972" width="5.109375" style="4" customWidth="1"/>
    <col min="8973" max="8973" width="4.6640625" style="4" customWidth="1"/>
    <col min="8974" max="8974" width="8.109375" style="4" customWidth="1"/>
    <col min="8975" max="8975" width="10.88671875" style="4" customWidth="1"/>
    <col min="8976" max="8976" width="6.44140625" style="4" customWidth="1"/>
    <col min="8977" max="8977" width="7.44140625" style="4" customWidth="1"/>
    <col min="8978" max="8978" width="5.88671875" style="4" customWidth="1"/>
    <col min="8979" max="8979" width="6.44140625" style="4" customWidth="1"/>
    <col min="8980" max="8980" width="5.88671875" style="4" customWidth="1"/>
    <col min="8981" max="8981" width="5.109375" style="4" customWidth="1"/>
    <col min="8982" max="8982" width="12.88671875" style="4" customWidth="1"/>
    <col min="8983" max="8983" width="15" style="4" customWidth="1"/>
    <col min="8984" max="8984" width="20.6640625" style="4" customWidth="1"/>
    <col min="8985" max="8985" width="23.6640625" style="4" customWidth="1"/>
    <col min="8986" max="8986" width="5.44140625" style="4" customWidth="1"/>
    <col min="8987" max="9219" width="11.44140625" style="4"/>
    <col min="9220" max="9220" width="6" style="4" customWidth="1"/>
    <col min="9221" max="9221" width="15.6640625" style="4" customWidth="1"/>
    <col min="9222" max="9223" width="13.109375" style="4" customWidth="1"/>
    <col min="9224" max="9224" width="6.44140625" style="4" customWidth="1"/>
    <col min="9225" max="9225" width="6.6640625" style="4" customWidth="1"/>
    <col min="9226" max="9226" width="5" style="4" customWidth="1"/>
    <col min="9227" max="9227" width="5.6640625" style="4" customWidth="1"/>
    <col min="9228" max="9228" width="5.109375" style="4" customWidth="1"/>
    <col min="9229" max="9229" width="4.6640625" style="4" customWidth="1"/>
    <col min="9230" max="9230" width="8.109375" style="4" customWidth="1"/>
    <col min="9231" max="9231" width="10.88671875" style="4" customWidth="1"/>
    <col min="9232" max="9232" width="6.44140625" style="4" customWidth="1"/>
    <col min="9233" max="9233" width="7.44140625" style="4" customWidth="1"/>
    <col min="9234" max="9234" width="5.88671875" style="4" customWidth="1"/>
    <col min="9235" max="9235" width="6.44140625" style="4" customWidth="1"/>
    <col min="9236" max="9236" width="5.88671875" style="4" customWidth="1"/>
    <col min="9237" max="9237" width="5.109375" style="4" customWidth="1"/>
    <col min="9238" max="9238" width="12.88671875" style="4" customWidth="1"/>
    <col min="9239" max="9239" width="15" style="4" customWidth="1"/>
    <col min="9240" max="9240" width="20.6640625" style="4" customWidth="1"/>
    <col min="9241" max="9241" width="23.6640625" style="4" customWidth="1"/>
    <col min="9242" max="9242" width="5.44140625" style="4" customWidth="1"/>
    <col min="9243" max="9475" width="11.44140625" style="4"/>
    <col min="9476" max="9476" width="6" style="4" customWidth="1"/>
    <col min="9477" max="9477" width="15.6640625" style="4" customWidth="1"/>
    <col min="9478" max="9479" width="13.109375" style="4" customWidth="1"/>
    <col min="9480" max="9480" width="6.44140625" style="4" customWidth="1"/>
    <col min="9481" max="9481" width="6.6640625" style="4" customWidth="1"/>
    <col min="9482" max="9482" width="5" style="4" customWidth="1"/>
    <col min="9483" max="9483" width="5.6640625" style="4" customWidth="1"/>
    <col min="9484" max="9484" width="5.109375" style="4" customWidth="1"/>
    <col min="9485" max="9485" width="4.6640625" style="4" customWidth="1"/>
    <col min="9486" max="9486" width="8.109375" style="4" customWidth="1"/>
    <col min="9487" max="9487" width="10.88671875" style="4" customWidth="1"/>
    <col min="9488" max="9488" width="6.44140625" style="4" customWidth="1"/>
    <col min="9489" max="9489" width="7.44140625" style="4" customWidth="1"/>
    <col min="9490" max="9490" width="5.88671875" style="4" customWidth="1"/>
    <col min="9491" max="9491" width="6.44140625" style="4" customWidth="1"/>
    <col min="9492" max="9492" width="5.88671875" style="4" customWidth="1"/>
    <col min="9493" max="9493" width="5.109375" style="4" customWidth="1"/>
    <col min="9494" max="9494" width="12.88671875" style="4" customWidth="1"/>
    <col min="9495" max="9495" width="15" style="4" customWidth="1"/>
    <col min="9496" max="9496" width="20.6640625" style="4" customWidth="1"/>
    <col min="9497" max="9497" width="23.6640625" style="4" customWidth="1"/>
    <col min="9498" max="9498" width="5.44140625" style="4" customWidth="1"/>
    <col min="9499" max="9731" width="11.44140625" style="4"/>
    <col min="9732" max="9732" width="6" style="4" customWidth="1"/>
    <col min="9733" max="9733" width="15.6640625" style="4" customWidth="1"/>
    <col min="9734" max="9735" width="13.109375" style="4" customWidth="1"/>
    <col min="9736" max="9736" width="6.44140625" style="4" customWidth="1"/>
    <col min="9737" max="9737" width="6.6640625" style="4" customWidth="1"/>
    <col min="9738" max="9738" width="5" style="4" customWidth="1"/>
    <col min="9739" max="9739" width="5.6640625" style="4" customWidth="1"/>
    <col min="9740" max="9740" width="5.109375" style="4" customWidth="1"/>
    <col min="9741" max="9741" width="4.6640625" style="4" customWidth="1"/>
    <col min="9742" max="9742" width="8.109375" style="4" customWidth="1"/>
    <col min="9743" max="9743" width="10.88671875" style="4" customWidth="1"/>
    <col min="9744" max="9744" width="6.44140625" style="4" customWidth="1"/>
    <col min="9745" max="9745" width="7.44140625" style="4" customWidth="1"/>
    <col min="9746" max="9746" width="5.88671875" style="4" customWidth="1"/>
    <col min="9747" max="9747" width="6.44140625" style="4" customWidth="1"/>
    <col min="9748" max="9748" width="5.88671875" style="4" customWidth="1"/>
    <col min="9749" max="9749" width="5.109375" style="4" customWidth="1"/>
    <col min="9750" max="9750" width="12.88671875" style="4" customWidth="1"/>
    <col min="9751" max="9751" width="15" style="4" customWidth="1"/>
    <col min="9752" max="9752" width="20.6640625" style="4" customWidth="1"/>
    <col min="9753" max="9753" width="23.6640625" style="4" customWidth="1"/>
    <col min="9754" max="9754" width="5.44140625" style="4" customWidth="1"/>
    <col min="9755" max="9987" width="11.44140625" style="4"/>
    <col min="9988" max="9988" width="6" style="4" customWidth="1"/>
    <col min="9989" max="9989" width="15.6640625" style="4" customWidth="1"/>
    <col min="9990" max="9991" width="13.109375" style="4" customWidth="1"/>
    <col min="9992" max="9992" width="6.44140625" style="4" customWidth="1"/>
    <col min="9993" max="9993" width="6.6640625" style="4" customWidth="1"/>
    <col min="9994" max="9994" width="5" style="4" customWidth="1"/>
    <col min="9995" max="9995" width="5.6640625" style="4" customWidth="1"/>
    <col min="9996" max="9996" width="5.109375" style="4" customWidth="1"/>
    <col min="9997" max="9997" width="4.6640625" style="4" customWidth="1"/>
    <col min="9998" max="9998" width="8.109375" style="4" customWidth="1"/>
    <col min="9999" max="9999" width="10.88671875" style="4" customWidth="1"/>
    <col min="10000" max="10000" width="6.44140625" style="4" customWidth="1"/>
    <col min="10001" max="10001" width="7.44140625" style="4" customWidth="1"/>
    <col min="10002" max="10002" width="5.88671875" style="4" customWidth="1"/>
    <col min="10003" max="10003" width="6.44140625" style="4" customWidth="1"/>
    <col min="10004" max="10004" width="5.88671875" style="4" customWidth="1"/>
    <col min="10005" max="10005" width="5.109375" style="4" customWidth="1"/>
    <col min="10006" max="10006" width="12.88671875" style="4" customWidth="1"/>
    <col min="10007" max="10007" width="15" style="4" customWidth="1"/>
    <col min="10008" max="10008" width="20.6640625" style="4" customWidth="1"/>
    <col min="10009" max="10009" width="23.6640625" style="4" customWidth="1"/>
    <col min="10010" max="10010" width="5.44140625" style="4" customWidth="1"/>
    <col min="10011" max="10243" width="11.44140625" style="4"/>
    <col min="10244" max="10244" width="6" style="4" customWidth="1"/>
    <col min="10245" max="10245" width="15.6640625" style="4" customWidth="1"/>
    <col min="10246" max="10247" width="13.109375" style="4" customWidth="1"/>
    <col min="10248" max="10248" width="6.44140625" style="4" customWidth="1"/>
    <col min="10249" max="10249" width="6.6640625" style="4" customWidth="1"/>
    <col min="10250" max="10250" width="5" style="4" customWidth="1"/>
    <col min="10251" max="10251" width="5.6640625" style="4" customWidth="1"/>
    <col min="10252" max="10252" width="5.109375" style="4" customWidth="1"/>
    <col min="10253" max="10253" width="4.6640625" style="4" customWidth="1"/>
    <col min="10254" max="10254" width="8.109375" style="4" customWidth="1"/>
    <col min="10255" max="10255" width="10.88671875" style="4" customWidth="1"/>
    <col min="10256" max="10256" width="6.44140625" style="4" customWidth="1"/>
    <col min="10257" max="10257" width="7.44140625" style="4" customWidth="1"/>
    <col min="10258" max="10258" width="5.88671875" style="4" customWidth="1"/>
    <col min="10259" max="10259" width="6.44140625" style="4" customWidth="1"/>
    <col min="10260" max="10260" width="5.88671875" style="4" customWidth="1"/>
    <col min="10261" max="10261" width="5.109375" style="4" customWidth="1"/>
    <col min="10262" max="10262" width="12.88671875" style="4" customWidth="1"/>
    <col min="10263" max="10263" width="15" style="4" customWidth="1"/>
    <col min="10264" max="10264" width="20.6640625" style="4" customWidth="1"/>
    <col min="10265" max="10265" width="23.6640625" style="4" customWidth="1"/>
    <col min="10266" max="10266" width="5.44140625" style="4" customWidth="1"/>
    <col min="10267" max="10499" width="11.44140625" style="4"/>
    <col min="10500" max="10500" width="6" style="4" customWidth="1"/>
    <col min="10501" max="10501" width="15.6640625" style="4" customWidth="1"/>
    <col min="10502" max="10503" width="13.109375" style="4" customWidth="1"/>
    <col min="10504" max="10504" width="6.44140625" style="4" customWidth="1"/>
    <col min="10505" max="10505" width="6.6640625" style="4" customWidth="1"/>
    <col min="10506" max="10506" width="5" style="4" customWidth="1"/>
    <col min="10507" max="10507" width="5.6640625" style="4" customWidth="1"/>
    <col min="10508" max="10508" width="5.109375" style="4" customWidth="1"/>
    <col min="10509" max="10509" width="4.6640625" style="4" customWidth="1"/>
    <col min="10510" max="10510" width="8.109375" style="4" customWidth="1"/>
    <col min="10511" max="10511" width="10.88671875" style="4" customWidth="1"/>
    <col min="10512" max="10512" width="6.44140625" style="4" customWidth="1"/>
    <col min="10513" max="10513" width="7.44140625" style="4" customWidth="1"/>
    <col min="10514" max="10514" width="5.88671875" style="4" customWidth="1"/>
    <col min="10515" max="10515" width="6.44140625" style="4" customWidth="1"/>
    <col min="10516" max="10516" width="5.88671875" style="4" customWidth="1"/>
    <col min="10517" max="10517" width="5.109375" style="4" customWidth="1"/>
    <col min="10518" max="10518" width="12.88671875" style="4" customWidth="1"/>
    <col min="10519" max="10519" width="15" style="4" customWidth="1"/>
    <col min="10520" max="10520" width="20.6640625" style="4" customWidth="1"/>
    <col min="10521" max="10521" width="23.6640625" style="4" customWidth="1"/>
    <col min="10522" max="10522" width="5.44140625" style="4" customWidth="1"/>
    <col min="10523" max="10755" width="11.44140625" style="4"/>
    <col min="10756" max="10756" width="6" style="4" customWidth="1"/>
    <col min="10757" max="10757" width="15.6640625" style="4" customWidth="1"/>
    <col min="10758" max="10759" width="13.109375" style="4" customWidth="1"/>
    <col min="10760" max="10760" width="6.44140625" style="4" customWidth="1"/>
    <col min="10761" max="10761" width="6.6640625" style="4" customWidth="1"/>
    <col min="10762" max="10762" width="5" style="4" customWidth="1"/>
    <col min="10763" max="10763" width="5.6640625" style="4" customWidth="1"/>
    <col min="10764" max="10764" width="5.109375" style="4" customWidth="1"/>
    <col min="10765" max="10765" width="4.6640625" style="4" customWidth="1"/>
    <col min="10766" max="10766" width="8.109375" style="4" customWidth="1"/>
    <col min="10767" max="10767" width="10.88671875" style="4" customWidth="1"/>
    <col min="10768" max="10768" width="6.44140625" style="4" customWidth="1"/>
    <col min="10769" max="10769" width="7.44140625" style="4" customWidth="1"/>
    <col min="10770" max="10770" width="5.88671875" style="4" customWidth="1"/>
    <col min="10771" max="10771" width="6.44140625" style="4" customWidth="1"/>
    <col min="10772" max="10772" width="5.88671875" style="4" customWidth="1"/>
    <col min="10773" max="10773" width="5.109375" style="4" customWidth="1"/>
    <col min="10774" max="10774" width="12.88671875" style="4" customWidth="1"/>
    <col min="10775" max="10775" width="15" style="4" customWidth="1"/>
    <col min="10776" max="10776" width="20.6640625" style="4" customWidth="1"/>
    <col min="10777" max="10777" width="23.6640625" style="4" customWidth="1"/>
    <col min="10778" max="10778" width="5.44140625" style="4" customWidth="1"/>
    <col min="10779" max="11011" width="11.44140625" style="4"/>
    <col min="11012" max="11012" width="6" style="4" customWidth="1"/>
    <col min="11013" max="11013" width="15.6640625" style="4" customWidth="1"/>
    <col min="11014" max="11015" width="13.109375" style="4" customWidth="1"/>
    <col min="11016" max="11016" width="6.44140625" style="4" customWidth="1"/>
    <col min="11017" max="11017" width="6.6640625" style="4" customWidth="1"/>
    <col min="11018" max="11018" width="5" style="4" customWidth="1"/>
    <col min="11019" max="11019" width="5.6640625" style="4" customWidth="1"/>
    <col min="11020" max="11020" width="5.109375" style="4" customWidth="1"/>
    <col min="11021" max="11021" width="4.6640625" style="4" customWidth="1"/>
    <col min="11022" max="11022" width="8.109375" style="4" customWidth="1"/>
    <col min="11023" max="11023" width="10.88671875" style="4" customWidth="1"/>
    <col min="11024" max="11024" width="6.44140625" style="4" customWidth="1"/>
    <col min="11025" max="11025" width="7.44140625" style="4" customWidth="1"/>
    <col min="11026" max="11026" width="5.88671875" style="4" customWidth="1"/>
    <col min="11027" max="11027" width="6.44140625" style="4" customWidth="1"/>
    <col min="11028" max="11028" width="5.88671875" style="4" customWidth="1"/>
    <col min="11029" max="11029" width="5.109375" style="4" customWidth="1"/>
    <col min="11030" max="11030" width="12.88671875" style="4" customWidth="1"/>
    <col min="11031" max="11031" width="15" style="4" customWidth="1"/>
    <col min="11032" max="11032" width="20.6640625" style="4" customWidth="1"/>
    <col min="11033" max="11033" width="23.6640625" style="4" customWidth="1"/>
    <col min="11034" max="11034" width="5.44140625" style="4" customWidth="1"/>
    <col min="11035" max="11267" width="11.44140625" style="4"/>
    <col min="11268" max="11268" width="6" style="4" customWidth="1"/>
    <col min="11269" max="11269" width="15.6640625" style="4" customWidth="1"/>
    <col min="11270" max="11271" width="13.109375" style="4" customWidth="1"/>
    <col min="11272" max="11272" width="6.44140625" style="4" customWidth="1"/>
    <col min="11273" max="11273" width="6.6640625" style="4" customWidth="1"/>
    <col min="11274" max="11274" width="5" style="4" customWidth="1"/>
    <col min="11275" max="11275" width="5.6640625" style="4" customWidth="1"/>
    <col min="11276" max="11276" width="5.109375" style="4" customWidth="1"/>
    <col min="11277" max="11277" width="4.6640625" style="4" customWidth="1"/>
    <col min="11278" max="11278" width="8.109375" style="4" customWidth="1"/>
    <col min="11279" max="11279" width="10.88671875" style="4" customWidth="1"/>
    <col min="11280" max="11280" width="6.44140625" style="4" customWidth="1"/>
    <col min="11281" max="11281" width="7.44140625" style="4" customWidth="1"/>
    <col min="11282" max="11282" width="5.88671875" style="4" customWidth="1"/>
    <col min="11283" max="11283" width="6.44140625" style="4" customWidth="1"/>
    <col min="11284" max="11284" width="5.88671875" style="4" customWidth="1"/>
    <col min="11285" max="11285" width="5.109375" style="4" customWidth="1"/>
    <col min="11286" max="11286" width="12.88671875" style="4" customWidth="1"/>
    <col min="11287" max="11287" width="15" style="4" customWidth="1"/>
    <col min="11288" max="11288" width="20.6640625" style="4" customWidth="1"/>
    <col min="11289" max="11289" width="23.6640625" style="4" customWidth="1"/>
    <col min="11290" max="11290" width="5.44140625" style="4" customWidth="1"/>
    <col min="11291" max="11523" width="11.44140625" style="4"/>
    <col min="11524" max="11524" width="6" style="4" customWidth="1"/>
    <col min="11525" max="11525" width="15.6640625" style="4" customWidth="1"/>
    <col min="11526" max="11527" width="13.109375" style="4" customWidth="1"/>
    <col min="11528" max="11528" width="6.44140625" style="4" customWidth="1"/>
    <col min="11529" max="11529" width="6.6640625" style="4" customWidth="1"/>
    <col min="11530" max="11530" width="5" style="4" customWidth="1"/>
    <col min="11531" max="11531" width="5.6640625" style="4" customWidth="1"/>
    <col min="11532" max="11532" width="5.109375" style="4" customWidth="1"/>
    <col min="11533" max="11533" width="4.6640625" style="4" customWidth="1"/>
    <col min="11534" max="11534" width="8.109375" style="4" customWidth="1"/>
    <col min="11535" max="11535" width="10.88671875" style="4" customWidth="1"/>
    <col min="11536" max="11536" width="6.44140625" style="4" customWidth="1"/>
    <col min="11537" max="11537" width="7.44140625" style="4" customWidth="1"/>
    <col min="11538" max="11538" width="5.88671875" style="4" customWidth="1"/>
    <col min="11539" max="11539" width="6.44140625" style="4" customWidth="1"/>
    <col min="11540" max="11540" width="5.88671875" style="4" customWidth="1"/>
    <col min="11541" max="11541" width="5.109375" style="4" customWidth="1"/>
    <col min="11542" max="11542" width="12.88671875" style="4" customWidth="1"/>
    <col min="11543" max="11543" width="15" style="4" customWidth="1"/>
    <col min="11544" max="11544" width="20.6640625" style="4" customWidth="1"/>
    <col min="11545" max="11545" width="23.6640625" style="4" customWidth="1"/>
    <col min="11546" max="11546" width="5.44140625" style="4" customWidth="1"/>
    <col min="11547" max="11779" width="11.44140625" style="4"/>
    <col min="11780" max="11780" width="6" style="4" customWidth="1"/>
    <col min="11781" max="11781" width="15.6640625" style="4" customWidth="1"/>
    <col min="11782" max="11783" width="13.109375" style="4" customWidth="1"/>
    <col min="11784" max="11784" width="6.44140625" style="4" customWidth="1"/>
    <col min="11785" max="11785" width="6.6640625" style="4" customWidth="1"/>
    <col min="11786" max="11786" width="5" style="4" customWidth="1"/>
    <col min="11787" max="11787" width="5.6640625" style="4" customWidth="1"/>
    <col min="11788" max="11788" width="5.109375" style="4" customWidth="1"/>
    <col min="11789" max="11789" width="4.6640625" style="4" customWidth="1"/>
    <col min="11790" max="11790" width="8.109375" style="4" customWidth="1"/>
    <col min="11791" max="11791" width="10.88671875" style="4" customWidth="1"/>
    <col min="11792" max="11792" width="6.44140625" style="4" customWidth="1"/>
    <col min="11793" max="11793" width="7.44140625" style="4" customWidth="1"/>
    <col min="11794" max="11794" width="5.88671875" style="4" customWidth="1"/>
    <col min="11795" max="11795" width="6.44140625" style="4" customWidth="1"/>
    <col min="11796" max="11796" width="5.88671875" style="4" customWidth="1"/>
    <col min="11797" max="11797" width="5.109375" style="4" customWidth="1"/>
    <col min="11798" max="11798" width="12.88671875" style="4" customWidth="1"/>
    <col min="11799" max="11799" width="15" style="4" customWidth="1"/>
    <col min="11800" max="11800" width="20.6640625" style="4" customWidth="1"/>
    <col min="11801" max="11801" width="23.6640625" style="4" customWidth="1"/>
    <col min="11802" max="11802" width="5.44140625" style="4" customWidth="1"/>
    <col min="11803" max="12035" width="11.44140625" style="4"/>
    <col min="12036" max="12036" width="6" style="4" customWidth="1"/>
    <col min="12037" max="12037" width="15.6640625" style="4" customWidth="1"/>
    <col min="12038" max="12039" width="13.109375" style="4" customWidth="1"/>
    <col min="12040" max="12040" width="6.44140625" style="4" customWidth="1"/>
    <col min="12041" max="12041" width="6.6640625" style="4" customWidth="1"/>
    <col min="12042" max="12042" width="5" style="4" customWidth="1"/>
    <col min="12043" max="12043" width="5.6640625" style="4" customWidth="1"/>
    <col min="12044" max="12044" width="5.109375" style="4" customWidth="1"/>
    <col min="12045" max="12045" width="4.6640625" style="4" customWidth="1"/>
    <col min="12046" max="12046" width="8.109375" style="4" customWidth="1"/>
    <col min="12047" max="12047" width="10.88671875" style="4" customWidth="1"/>
    <col min="12048" max="12048" width="6.44140625" style="4" customWidth="1"/>
    <col min="12049" max="12049" width="7.44140625" style="4" customWidth="1"/>
    <col min="12050" max="12050" width="5.88671875" style="4" customWidth="1"/>
    <col min="12051" max="12051" width="6.44140625" style="4" customWidth="1"/>
    <col min="12052" max="12052" width="5.88671875" style="4" customWidth="1"/>
    <col min="12053" max="12053" width="5.109375" style="4" customWidth="1"/>
    <col min="12054" max="12054" width="12.88671875" style="4" customWidth="1"/>
    <col min="12055" max="12055" width="15" style="4" customWidth="1"/>
    <col min="12056" max="12056" width="20.6640625" style="4" customWidth="1"/>
    <col min="12057" max="12057" width="23.6640625" style="4" customWidth="1"/>
    <col min="12058" max="12058" width="5.44140625" style="4" customWidth="1"/>
    <col min="12059" max="12291" width="11.44140625" style="4"/>
    <col min="12292" max="12292" width="6" style="4" customWidth="1"/>
    <col min="12293" max="12293" width="15.6640625" style="4" customWidth="1"/>
    <col min="12294" max="12295" width="13.109375" style="4" customWidth="1"/>
    <col min="12296" max="12296" width="6.44140625" style="4" customWidth="1"/>
    <col min="12297" max="12297" width="6.6640625" style="4" customWidth="1"/>
    <col min="12298" max="12298" width="5" style="4" customWidth="1"/>
    <col min="12299" max="12299" width="5.6640625" style="4" customWidth="1"/>
    <col min="12300" max="12300" width="5.109375" style="4" customWidth="1"/>
    <col min="12301" max="12301" width="4.6640625" style="4" customWidth="1"/>
    <col min="12302" max="12302" width="8.109375" style="4" customWidth="1"/>
    <col min="12303" max="12303" width="10.88671875" style="4" customWidth="1"/>
    <col min="12304" max="12304" width="6.44140625" style="4" customWidth="1"/>
    <col min="12305" max="12305" width="7.44140625" style="4" customWidth="1"/>
    <col min="12306" max="12306" width="5.88671875" style="4" customWidth="1"/>
    <col min="12307" max="12307" width="6.44140625" style="4" customWidth="1"/>
    <col min="12308" max="12308" width="5.88671875" style="4" customWidth="1"/>
    <col min="12309" max="12309" width="5.109375" style="4" customWidth="1"/>
    <col min="12310" max="12310" width="12.88671875" style="4" customWidth="1"/>
    <col min="12311" max="12311" width="15" style="4" customWidth="1"/>
    <col min="12312" max="12312" width="20.6640625" style="4" customWidth="1"/>
    <col min="12313" max="12313" width="23.6640625" style="4" customWidth="1"/>
    <col min="12314" max="12314" width="5.44140625" style="4" customWidth="1"/>
    <col min="12315" max="12547" width="11.44140625" style="4"/>
    <col min="12548" max="12548" width="6" style="4" customWidth="1"/>
    <col min="12549" max="12549" width="15.6640625" style="4" customWidth="1"/>
    <col min="12550" max="12551" width="13.109375" style="4" customWidth="1"/>
    <col min="12552" max="12552" width="6.44140625" style="4" customWidth="1"/>
    <col min="12553" max="12553" width="6.6640625" style="4" customWidth="1"/>
    <col min="12554" max="12554" width="5" style="4" customWidth="1"/>
    <col min="12555" max="12555" width="5.6640625" style="4" customWidth="1"/>
    <col min="12556" max="12556" width="5.109375" style="4" customWidth="1"/>
    <col min="12557" max="12557" width="4.6640625" style="4" customWidth="1"/>
    <col min="12558" max="12558" width="8.109375" style="4" customWidth="1"/>
    <col min="12559" max="12559" width="10.88671875" style="4" customWidth="1"/>
    <col min="12560" max="12560" width="6.44140625" style="4" customWidth="1"/>
    <col min="12561" max="12561" width="7.44140625" style="4" customWidth="1"/>
    <col min="12562" max="12562" width="5.88671875" style="4" customWidth="1"/>
    <col min="12563" max="12563" width="6.44140625" style="4" customWidth="1"/>
    <col min="12564" max="12564" width="5.88671875" style="4" customWidth="1"/>
    <col min="12565" max="12565" width="5.109375" style="4" customWidth="1"/>
    <col min="12566" max="12566" width="12.88671875" style="4" customWidth="1"/>
    <col min="12567" max="12567" width="15" style="4" customWidth="1"/>
    <col min="12568" max="12568" width="20.6640625" style="4" customWidth="1"/>
    <col min="12569" max="12569" width="23.6640625" style="4" customWidth="1"/>
    <col min="12570" max="12570" width="5.44140625" style="4" customWidth="1"/>
    <col min="12571" max="12803" width="11.44140625" style="4"/>
    <col min="12804" max="12804" width="6" style="4" customWidth="1"/>
    <col min="12805" max="12805" width="15.6640625" style="4" customWidth="1"/>
    <col min="12806" max="12807" width="13.109375" style="4" customWidth="1"/>
    <col min="12808" max="12808" width="6.44140625" style="4" customWidth="1"/>
    <col min="12809" max="12809" width="6.6640625" style="4" customWidth="1"/>
    <col min="12810" max="12810" width="5" style="4" customWidth="1"/>
    <col min="12811" max="12811" width="5.6640625" style="4" customWidth="1"/>
    <col min="12812" max="12812" width="5.109375" style="4" customWidth="1"/>
    <col min="12813" max="12813" width="4.6640625" style="4" customWidth="1"/>
    <col min="12814" max="12814" width="8.109375" style="4" customWidth="1"/>
    <col min="12815" max="12815" width="10.88671875" style="4" customWidth="1"/>
    <col min="12816" max="12816" width="6.44140625" style="4" customWidth="1"/>
    <col min="12817" max="12817" width="7.44140625" style="4" customWidth="1"/>
    <col min="12818" max="12818" width="5.88671875" style="4" customWidth="1"/>
    <col min="12819" max="12819" width="6.44140625" style="4" customWidth="1"/>
    <col min="12820" max="12820" width="5.88671875" style="4" customWidth="1"/>
    <col min="12821" max="12821" width="5.109375" style="4" customWidth="1"/>
    <col min="12822" max="12822" width="12.88671875" style="4" customWidth="1"/>
    <col min="12823" max="12823" width="15" style="4" customWidth="1"/>
    <col min="12824" max="12824" width="20.6640625" style="4" customWidth="1"/>
    <col min="12825" max="12825" width="23.6640625" style="4" customWidth="1"/>
    <col min="12826" max="12826" width="5.44140625" style="4" customWidth="1"/>
    <col min="12827" max="13059" width="11.44140625" style="4"/>
    <col min="13060" max="13060" width="6" style="4" customWidth="1"/>
    <col min="13061" max="13061" width="15.6640625" style="4" customWidth="1"/>
    <col min="13062" max="13063" width="13.109375" style="4" customWidth="1"/>
    <col min="13064" max="13064" width="6.44140625" style="4" customWidth="1"/>
    <col min="13065" max="13065" width="6.6640625" style="4" customWidth="1"/>
    <col min="13066" max="13066" width="5" style="4" customWidth="1"/>
    <col min="13067" max="13067" width="5.6640625" style="4" customWidth="1"/>
    <col min="13068" max="13068" width="5.109375" style="4" customWidth="1"/>
    <col min="13069" max="13069" width="4.6640625" style="4" customWidth="1"/>
    <col min="13070" max="13070" width="8.109375" style="4" customWidth="1"/>
    <col min="13071" max="13071" width="10.88671875" style="4" customWidth="1"/>
    <col min="13072" max="13072" width="6.44140625" style="4" customWidth="1"/>
    <col min="13073" max="13073" width="7.44140625" style="4" customWidth="1"/>
    <col min="13074" max="13074" width="5.88671875" style="4" customWidth="1"/>
    <col min="13075" max="13075" width="6.44140625" style="4" customWidth="1"/>
    <col min="13076" max="13076" width="5.88671875" style="4" customWidth="1"/>
    <col min="13077" max="13077" width="5.109375" style="4" customWidth="1"/>
    <col min="13078" max="13078" width="12.88671875" style="4" customWidth="1"/>
    <col min="13079" max="13079" width="15" style="4" customWidth="1"/>
    <col min="13080" max="13080" width="20.6640625" style="4" customWidth="1"/>
    <col min="13081" max="13081" width="23.6640625" style="4" customWidth="1"/>
    <col min="13082" max="13082" width="5.44140625" style="4" customWidth="1"/>
    <col min="13083" max="13315" width="11.44140625" style="4"/>
    <col min="13316" max="13316" width="6" style="4" customWidth="1"/>
    <col min="13317" max="13317" width="15.6640625" style="4" customWidth="1"/>
    <col min="13318" max="13319" width="13.109375" style="4" customWidth="1"/>
    <col min="13320" max="13320" width="6.44140625" style="4" customWidth="1"/>
    <col min="13321" max="13321" width="6.6640625" style="4" customWidth="1"/>
    <col min="13322" max="13322" width="5" style="4" customWidth="1"/>
    <col min="13323" max="13323" width="5.6640625" style="4" customWidth="1"/>
    <col min="13324" max="13324" width="5.109375" style="4" customWidth="1"/>
    <col min="13325" max="13325" width="4.6640625" style="4" customWidth="1"/>
    <col min="13326" max="13326" width="8.109375" style="4" customWidth="1"/>
    <col min="13327" max="13327" width="10.88671875" style="4" customWidth="1"/>
    <col min="13328" max="13328" width="6.44140625" style="4" customWidth="1"/>
    <col min="13329" max="13329" width="7.44140625" style="4" customWidth="1"/>
    <col min="13330" max="13330" width="5.88671875" style="4" customWidth="1"/>
    <col min="13331" max="13331" width="6.44140625" style="4" customWidth="1"/>
    <col min="13332" max="13332" width="5.88671875" style="4" customWidth="1"/>
    <col min="13333" max="13333" width="5.109375" style="4" customWidth="1"/>
    <col min="13334" max="13334" width="12.88671875" style="4" customWidth="1"/>
    <col min="13335" max="13335" width="15" style="4" customWidth="1"/>
    <col min="13336" max="13336" width="20.6640625" style="4" customWidth="1"/>
    <col min="13337" max="13337" width="23.6640625" style="4" customWidth="1"/>
    <col min="13338" max="13338" width="5.44140625" style="4" customWidth="1"/>
    <col min="13339" max="13571" width="11.44140625" style="4"/>
    <col min="13572" max="13572" width="6" style="4" customWidth="1"/>
    <col min="13573" max="13573" width="15.6640625" style="4" customWidth="1"/>
    <col min="13574" max="13575" width="13.109375" style="4" customWidth="1"/>
    <col min="13576" max="13576" width="6.44140625" style="4" customWidth="1"/>
    <col min="13577" max="13577" width="6.6640625" style="4" customWidth="1"/>
    <col min="13578" max="13578" width="5" style="4" customWidth="1"/>
    <col min="13579" max="13579" width="5.6640625" style="4" customWidth="1"/>
    <col min="13580" max="13580" width="5.109375" style="4" customWidth="1"/>
    <col min="13581" max="13581" width="4.6640625" style="4" customWidth="1"/>
    <col min="13582" max="13582" width="8.109375" style="4" customWidth="1"/>
    <col min="13583" max="13583" width="10.88671875" style="4" customWidth="1"/>
    <col min="13584" max="13584" width="6.44140625" style="4" customWidth="1"/>
    <col min="13585" max="13585" width="7.44140625" style="4" customWidth="1"/>
    <col min="13586" max="13586" width="5.88671875" style="4" customWidth="1"/>
    <col min="13587" max="13587" width="6.44140625" style="4" customWidth="1"/>
    <col min="13588" max="13588" width="5.88671875" style="4" customWidth="1"/>
    <col min="13589" max="13589" width="5.109375" style="4" customWidth="1"/>
    <col min="13590" max="13590" width="12.88671875" style="4" customWidth="1"/>
    <col min="13591" max="13591" width="15" style="4" customWidth="1"/>
    <col min="13592" max="13592" width="20.6640625" style="4" customWidth="1"/>
    <col min="13593" max="13593" width="23.6640625" style="4" customWidth="1"/>
    <col min="13594" max="13594" width="5.44140625" style="4" customWidth="1"/>
    <col min="13595" max="13827" width="11.44140625" style="4"/>
    <col min="13828" max="13828" width="6" style="4" customWidth="1"/>
    <col min="13829" max="13829" width="15.6640625" style="4" customWidth="1"/>
    <col min="13830" max="13831" width="13.109375" style="4" customWidth="1"/>
    <col min="13832" max="13832" width="6.44140625" style="4" customWidth="1"/>
    <col min="13833" max="13833" width="6.6640625" style="4" customWidth="1"/>
    <col min="13834" max="13834" width="5" style="4" customWidth="1"/>
    <col min="13835" max="13835" width="5.6640625" style="4" customWidth="1"/>
    <col min="13836" max="13836" width="5.109375" style="4" customWidth="1"/>
    <col min="13837" max="13837" width="4.6640625" style="4" customWidth="1"/>
    <col min="13838" max="13838" width="8.109375" style="4" customWidth="1"/>
    <col min="13839" max="13839" width="10.88671875" style="4" customWidth="1"/>
    <col min="13840" max="13840" width="6.44140625" style="4" customWidth="1"/>
    <col min="13841" max="13841" width="7.44140625" style="4" customWidth="1"/>
    <col min="13842" max="13842" width="5.88671875" style="4" customWidth="1"/>
    <col min="13843" max="13843" width="6.44140625" style="4" customWidth="1"/>
    <col min="13844" max="13844" width="5.88671875" style="4" customWidth="1"/>
    <col min="13845" max="13845" width="5.109375" style="4" customWidth="1"/>
    <col min="13846" max="13846" width="12.88671875" style="4" customWidth="1"/>
    <col min="13847" max="13847" width="15" style="4" customWidth="1"/>
    <col min="13848" max="13848" width="20.6640625" style="4" customWidth="1"/>
    <col min="13849" max="13849" width="23.6640625" style="4" customWidth="1"/>
    <col min="13850" max="13850" width="5.44140625" style="4" customWidth="1"/>
    <col min="13851" max="14083" width="11.44140625" style="4"/>
    <col min="14084" max="14084" width="6" style="4" customWidth="1"/>
    <col min="14085" max="14085" width="15.6640625" style="4" customWidth="1"/>
    <col min="14086" max="14087" width="13.109375" style="4" customWidth="1"/>
    <col min="14088" max="14088" width="6.44140625" style="4" customWidth="1"/>
    <col min="14089" max="14089" width="6.6640625" style="4" customWidth="1"/>
    <col min="14090" max="14090" width="5" style="4" customWidth="1"/>
    <col min="14091" max="14091" width="5.6640625" style="4" customWidth="1"/>
    <col min="14092" max="14092" width="5.109375" style="4" customWidth="1"/>
    <col min="14093" max="14093" width="4.6640625" style="4" customWidth="1"/>
    <col min="14094" max="14094" width="8.109375" style="4" customWidth="1"/>
    <col min="14095" max="14095" width="10.88671875" style="4" customWidth="1"/>
    <col min="14096" max="14096" width="6.44140625" style="4" customWidth="1"/>
    <col min="14097" max="14097" width="7.44140625" style="4" customWidth="1"/>
    <col min="14098" max="14098" width="5.88671875" style="4" customWidth="1"/>
    <col min="14099" max="14099" width="6.44140625" style="4" customWidth="1"/>
    <col min="14100" max="14100" width="5.88671875" style="4" customWidth="1"/>
    <col min="14101" max="14101" width="5.109375" style="4" customWidth="1"/>
    <col min="14102" max="14102" width="12.88671875" style="4" customWidth="1"/>
    <col min="14103" max="14103" width="15" style="4" customWidth="1"/>
    <col min="14104" max="14104" width="20.6640625" style="4" customWidth="1"/>
    <col min="14105" max="14105" width="23.6640625" style="4" customWidth="1"/>
    <col min="14106" max="14106" width="5.44140625" style="4" customWidth="1"/>
    <col min="14107" max="14339" width="11.44140625" style="4"/>
    <col min="14340" max="14340" width="6" style="4" customWidth="1"/>
    <col min="14341" max="14341" width="15.6640625" style="4" customWidth="1"/>
    <col min="14342" max="14343" width="13.109375" style="4" customWidth="1"/>
    <col min="14344" max="14344" width="6.44140625" style="4" customWidth="1"/>
    <col min="14345" max="14345" width="6.6640625" style="4" customWidth="1"/>
    <col min="14346" max="14346" width="5" style="4" customWidth="1"/>
    <col min="14347" max="14347" width="5.6640625" style="4" customWidth="1"/>
    <col min="14348" max="14348" width="5.109375" style="4" customWidth="1"/>
    <col min="14349" max="14349" width="4.6640625" style="4" customWidth="1"/>
    <col min="14350" max="14350" width="8.109375" style="4" customWidth="1"/>
    <col min="14351" max="14351" width="10.88671875" style="4" customWidth="1"/>
    <col min="14352" max="14352" width="6.44140625" style="4" customWidth="1"/>
    <col min="14353" max="14353" width="7.44140625" style="4" customWidth="1"/>
    <col min="14354" max="14354" width="5.88671875" style="4" customWidth="1"/>
    <col min="14355" max="14355" width="6.44140625" style="4" customWidth="1"/>
    <col min="14356" max="14356" width="5.88671875" style="4" customWidth="1"/>
    <col min="14357" max="14357" width="5.109375" style="4" customWidth="1"/>
    <col min="14358" max="14358" width="12.88671875" style="4" customWidth="1"/>
    <col min="14359" max="14359" width="15" style="4" customWidth="1"/>
    <col min="14360" max="14360" width="20.6640625" style="4" customWidth="1"/>
    <col min="14361" max="14361" width="23.6640625" style="4" customWidth="1"/>
    <col min="14362" max="14362" width="5.44140625" style="4" customWidth="1"/>
    <col min="14363" max="14595" width="11.44140625" style="4"/>
    <col min="14596" max="14596" width="6" style="4" customWidth="1"/>
    <col min="14597" max="14597" width="15.6640625" style="4" customWidth="1"/>
    <col min="14598" max="14599" width="13.109375" style="4" customWidth="1"/>
    <col min="14600" max="14600" width="6.44140625" style="4" customWidth="1"/>
    <col min="14601" max="14601" width="6.6640625" style="4" customWidth="1"/>
    <col min="14602" max="14602" width="5" style="4" customWidth="1"/>
    <col min="14603" max="14603" width="5.6640625" style="4" customWidth="1"/>
    <col min="14604" max="14604" width="5.109375" style="4" customWidth="1"/>
    <col min="14605" max="14605" width="4.6640625" style="4" customWidth="1"/>
    <col min="14606" max="14606" width="8.109375" style="4" customWidth="1"/>
    <col min="14607" max="14607" width="10.88671875" style="4" customWidth="1"/>
    <col min="14608" max="14608" width="6.44140625" style="4" customWidth="1"/>
    <col min="14609" max="14609" width="7.44140625" style="4" customWidth="1"/>
    <col min="14610" max="14610" width="5.88671875" style="4" customWidth="1"/>
    <col min="14611" max="14611" width="6.44140625" style="4" customWidth="1"/>
    <col min="14612" max="14612" width="5.88671875" style="4" customWidth="1"/>
    <col min="14613" max="14613" width="5.109375" style="4" customWidth="1"/>
    <col min="14614" max="14614" width="12.88671875" style="4" customWidth="1"/>
    <col min="14615" max="14615" width="15" style="4" customWidth="1"/>
    <col min="14616" max="14616" width="20.6640625" style="4" customWidth="1"/>
    <col min="14617" max="14617" width="23.6640625" style="4" customWidth="1"/>
    <col min="14618" max="14618" width="5.44140625" style="4" customWidth="1"/>
    <col min="14619" max="14851" width="11.44140625" style="4"/>
    <col min="14852" max="14852" width="6" style="4" customWidth="1"/>
    <col min="14853" max="14853" width="15.6640625" style="4" customWidth="1"/>
    <col min="14854" max="14855" width="13.109375" style="4" customWidth="1"/>
    <col min="14856" max="14856" width="6.44140625" style="4" customWidth="1"/>
    <col min="14857" max="14857" width="6.6640625" style="4" customWidth="1"/>
    <col min="14858" max="14858" width="5" style="4" customWidth="1"/>
    <col min="14859" max="14859" width="5.6640625" style="4" customWidth="1"/>
    <col min="14860" max="14860" width="5.109375" style="4" customWidth="1"/>
    <col min="14861" max="14861" width="4.6640625" style="4" customWidth="1"/>
    <col min="14862" max="14862" width="8.109375" style="4" customWidth="1"/>
    <col min="14863" max="14863" width="10.88671875" style="4" customWidth="1"/>
    <col min="14864" max="14864" width="6.44140625" style="4" customWidth="1"/>
    <col min="14865" max="14865" width="7.44140625" style="4" customWidth="1"/>
    <col min="14866" max="14866" width="5.88671875" style="4" customWidth="1"/>
    <col min="14867" max="14867" width="6.44140625" style="4" customWidth="1"/>
    <col min="14868" max="14868" width="5.88671875" style="4" customWidth="1"/>
    <col min="14869" max="14869" width="5.109375" style="4" customWidth="1"/>
    <col min="14870" max="14870" width="12.88671875" style="4" customWidth="1"/>
    <col min="14871" max="14871" width="15" style="4" customWidth="1"/>
    <col min="14872" max="14872" width="20.6640625" style="4" customWidth="1"/>
    <col min="14873" max="14873" width="23.6640625" style="4" customWidth="1"/>
    <col min="14874" max="14874" width="5.44140625" style="4" customWidth="1"/>
    <col min="14875" max="15107" width="11.44140625" style="4"/>
    <col min="15108" max="15108" width="6" style="4" customWidth="1"/>
    <col min="15109" max="15109" width="15.6640625" style="4" customWidth="1"/>
    <col min="15110" max="15111" width="13.109375" style="4" customWidth="1"/>
    <col min="15112" max="15112" width="6.44140625" style="4" customWidth="1"/>
    <col min="15113" max="15113" width="6.6640625" style="4" customWidth="1"/>
    <col min="15114" max="15114" width="5" style="4" customWidth="1"/>
    <col min="15115" max="15115" width="5.6640625" style="4" customWidth="1"/>
    <col min="15116" max="15116" width="5.109375" style="4" customWidth="1"/>
    <col min="15117" max="15117" width="4.6640625" style="4" customWidth="1"/>
    <col min="15118" max="15118" width="8.109375" style="4" customWidth="1"/>
    <col min="15119" max="15119" width="10.88671875" style="4" customWidth="1"/>
    <col min="15120" max="15120" width="6.44140625" style="4" customWidth="1"/>
    <col min="15121" max="15121" width="7.44140625" style="4" customWidth="1"/>
    <col min="15122" max="15122" width="5.88671875" style="4" customWidth="1"/>
    <col min="15123" max="15123" width="6.44140625" style="4" customWidth="1"/>
    <col min="15124" max="15124" width="5.88671875" style="4" customWidth="1"/>
    <col min="15125" max="15125" width="5.109375" style="4" customWidth="1"/>
    <col min="15126" max="15126" width="12.88671875" style="4" customWidth="1"/>
    <col min="15127" max="15127" width="15" style="4" customWidth="1"/>
    <col min="15128" max="15128" width="20.6640625" style="4" customWidth="1"/>
    <col min="15129" max="15129" width="23.6640625" style="4" customWidth="1"/>
    <col min="15130" max="15130" width="5.44140625" style="4" customWidth="1"/>
    <col min="15131" max="15363" width="11.44140625" style="4"/>
    <col min="15364" max="15364" width="6" style="4" customWidth="1"/>
    <col min="15365" max="15365" width="15.6640625" style="4" customWidth="1"/>
    <col min="15366" max="15367" width="13.109375" style="4" customWidth="1"/>
    <col min="15368" max="15368" width="6.44140625" style="4" customWidth="1"/>
    <col min="15369" max="15369" width="6.6640625" style="4" customWidth="1"/>
    <col min="15370" max="15370" width="5" style="4" customWidth="1"/>
    <col min="15371" max="15371" width="5.6640625" style="4" customWidth="1"/>
    <col min="15372" max="15372" width="5.109375" style="4" customWidth="1"/>
    <col min="15373" max="15373" width="4.6640625" style="4" customWidth="1"/>
    <col min="15374" max="15374" width="8.109375" style="4" customWidth="1"/>
    <col min="15375" max="15375" width="10.88671875" style="4" customWidth="1"/>
    <col min="15376" max="15376" width="6.44140625" style="4" customWidth="1"/>
    <col min="15377" max="15377" width="7.44140625" style="4" customWidth="1"/>
    <col min="15378" max="15378" width="5.88671875" style="4" customWidth="1"/>
    <col min="15379" max="15379" width="6.44140625" style="4" customWidth="1"/>
    <col min="15380" max="15380" width="5.88671875" style="4" customWidth="1"/>
    <col min="15381" max="15381" width="5.109375" style="4" customWidth="1"/>
    <col min="15382" max="15382" width="12.88671875" style="4" customWidth="1"/>
    <col min="15383" max="15383" width="15" style="4" customWidth="1"/>
    <col min="15384" max="15384" width="20.6640625" style="4" customWidth="1"/>
    <col min="15385" max="15385" width="23.6640625" style="4" customWidth="1"/>
    <col min="15386" max="15386" width="5.44140625" style="4" customWidth="1"/>
    <col min="15387" max="15619" width="11.44140625" style="4"/>
    <col min="15620" max="15620" width="6" style="4" customWidth="1"/>
    <col min="15621" max="15621" width="15.6640625" style="4" customWidth="1"/>
    <col min="15622" max="15623" width="13.109375" style="4" customWidth="1"/>
    <col min="15624" max="15624" width="6.44140625" style="4" customWidth="1"/>
    <col min="15625" max="15625" width="6.6640625" style="4" customWidth="1"/>
    <col min="15626" max="15626" width="5" style="4" customWidth="1"/>
    <col min="15627" max="15627" width="5.6640625" style="4" customWidth="1"/>
    <col min="15628" max="15628" width="5.109375" style="4" customWidth="1"/>
    <col min="15629" max="15629" width="4.6640625" style="4" customWidth="1"/>
    <col min="15630" max="15630" width="8.109375" style="4" customWidth="1"/>
    <col min="15631" max="15631" width="10.88671875" style="4" customWidth="1"/>
    <col min="15632" max="15632" width="6.44140625" style="4" customWidth="1"/>
    <col min="15633" max="15633" width="7.44140625" style="4" customWidth="1"/>
    <col min="15634" max="15634" width="5.88671875" style="4" customWidth="1"/>
    <col min="15635" max="15635" width="6.44140625" style="4" customWidth="1"/>
    <col min="15636" max="15636" width="5.88671875" style="4" customWidth="1"/>
    <col min="15637" max="15637" width="5.109375" style="4" customWidth="1"/>
    <col min="15638" max="15638" width="12.88671875" style="4" customWidth="1"/>
    <col min="15639" max="15639" width="15" style="4" customWidth="1"/>
    <col min="15640" max="15640" width="20.6640625" style="4" customWidth="1"/>
    <col min="15641" max="15641" width="23.6640625" style="4" customWidth="1"/>
    <col min="15642" max="15642" width="5.44140625" style="4" customWidth="1"/>
    <col min="15643" max="15875" width="11.44140625" style="4"/>
    <col min="15876" max="15876" width="6" style="4" customWidth="1"/>
    <col min="15877" max="15877" width="15.6640625" style="4" customWidth="1"/>
    <col min="15878" max="15879" width="13.109375" style="4" customWidth="1"/>
    <col min="15880" max="15880" width="6.44140625" style="4" customWidth="1"/>
    <col min="15881" max="15881" width="6.6640625" style="4" customWidth="1"/>
    <col min="15882" max="15882" width="5" style="4" customWidth="1"/>
    <col min="15883" max="15883" width="5.6640625" style="4" customWidth="1"/>
    <col min="15884" max="15884" width="5.109375" style="4" customWidth="1"/>
    <col min="15885" max="15885" width="4.6640625" style="4" customWidth="1"/>
    <col min="15886" max="15886" width="8.109375" style="4" customWidth="1"/>
    <col min="15887" max="15887" width="10.88671875" style="4" customWidth="1"/>
    <col min="15888" max="15888" width="6.44140625" style="4" customWidth="1"/>
    <col min="15889" max="15889" width="7.44140625" style="4" customWidth="1"/>
    <col min="15890" max="15890" width="5.88671875" style="4" customWidth="1"/>
    <col min="15891" max="15891" width="6.44140625" style="4" customWidth="1"/>
    <col min="15892" max="15892" width="5.88671875" style="4" customWidth="1"/>
    <col min="15893" max="15893" width="5.109375" style="4" customWidth="1"/>
    <col min="15894" max="15894" width="12.88671875" style="4" customWidth="1"/>
    <col min="15895" max="15895" width="15" style="4" customWidth="1"/>
    <col min="15896" max="15896" width="20.6640625" style="4" customWidth="1"/>
    <col min="15897" max="15897" width="23.6640625" style="4" customWidth="1"/>
    <col min="15898" max="15898" width="5.44140625" style="4" customWidth="1"/>
    <col min="15899" max="16131" width="11.44140625" style="4"/>
    <col min="16132" max="16132" width="6" style="4" customWidth="1"/>
    <col min="16133" max="16133" width="15.6640625" style="4" customWidth="1"/>
    <col min="16134" max="16135" width="13.109375" style="4" customWidth="1"/>
    <col min="16136" max="16136" width="6.44140625" style="4" customWidth="1"/>
    <col min="16137" max="16137" width="6.6640625" style="4" customWidth="1"/>
    <col min="16138" max="16138" width="5" style="4" customWidth="1"/>
    <col min="16139" max="16139" width="5.6640625" style="4" customWidth="1"/>
    <col min="16140" max="16140" width="5.109375" style="4" customWidth="1"/>
    <col min="16141" max="16141" width="4.6640625" style="4" customWidth="1"/>
    <col min="16142" max="16142" width="8.109375" style="4" customWidth="1"/>
    <col min="16143" max="16143" width="10.88671875" style="4" customWidth="1"/>
    <col min="16144" max="16144" width="6.44140625" style="4" customWidth="1"/>
    <col min="16145" max="16145" width="7.44140625" style="4" customWidth="1"/>
    <col min="16146" max="16146" width="5.88671875" style="4" customWidth="1"/>
    <col min="16147" max="16147" width="6.44140625" style="4" customWidth="1"/>
    <col min="16148" max="16148" width="5.88671875" style="4" customWidth="1"/>
    <col min="16149" max="16149" width="5.109375" style="4" customWidth="1"/>
    <col min="16150" max="16150" width="12.88671875" style="4" customWidth="1"/>
    <col min="16151" max="16151" width="15" style="4" customWidth="1"/>
    <col min="16152" max="16152" width="20.6640625" style="4" customWidth="1"/>
    <col min="16153" max="16153" width="23.6640625" style="4" customWidth="1"/>
    <col min="16154" max="16154" width="5.44140625" style="4" customWidth="1"/>
    <col min="16155" max="16384" width="11.44140625" style="4"/>
  </cols>
  <sheetData>
    <row r="1" spans="1:25" s="1" customFormat="1" ht="12.6" x14ac:dyDescent="0.2">
      <c r="A1" s="1051"/>
      <c r="B1" s="1051"/>
      <c r="C1" s="1054" t="s">
        <v>327</v>
      </c>
      <c r="D1" s="1054"/>
      <c r="E1" s="1054"/>
      <c r="F1" s="1054"/>
      <c r="G1" s="1054"/>
      <c r="H1" s="1054"/>
      <c r="I1" s="1054"/>
      <c r="J1" s="1054"/>
      <c r="K1" s="1054"/>
      <c r="L1" s="1054"/>
      <c r="M1" s="1054"/>
      <c r="N1" s="1054"/>
      <c r="O1" s="1054"/>
      <c r="P1" s="1054"/>
      <c r="Q1" s="1054"/>
      <c r="R1" s="1054"/>
      <c r="S1" s="1054"/>
      <c r="T1" s="1054"/>
      <c r="U1" s="1054"/>
      <c r="V1" s="1054"/>
      <c r="W1" s="1054"/>
      <c r="X1" s="1054"/>
      <c r="Y1" s="1051"/>
    </row>
    <row r="2" spans="1:25" s="2" customFormat="1" ht="12.6" x14ac:dyDescent="0.25">
      <c r="A2" s="1052"/>
      <c r="B2" s="1052"/>
      <c r="C2" s="1055"/>
      <c r="D2" s="1055"/>
      <c r="E2" s="1055"/>
      <c r="F2" s="1055"/>
      <c r="G2" s="1055"/>
      <c r="H2" s="1055"/>
      <c r="I2" s="1055"/>
      <c r="J2" s="1055"/>
      <c r="K2" s="1055"/>
      <c r="L2" s="1055"/>
      <c r="M2" s="1055"/>
      <c r="N2" s="1055"/>
      <c r="O2" s="1055"/>
      <c r="P2" s="1055"/>
      <c r="Q2" s="1055"/>
      <c r="R2" s="1055"/>
      <c r="S2" s="1055"/>
      <c r="T2" s="1055"/>
      <c r="U2" s="1055"/>
      <c r="V2" s="1055"/>
      <c r="W2" s="1055"/>
      <c r="X2" s="1055"/>
      <c r="Y2" s="1052"/>
    </row>
    <row r="3" spans="1:25" s="2" customFormat="1" ht="12.6" x14ac:dyDescent="0.25">
      <c r="A3" s="1053"/>
      <c r="B3" s="1053"/>
      <c r="C3" s="1056"/>
      <c r="D3" s="1056"/>
      <c r="E3" s="1056"/>
      <c r="F3" s="1056"/>
      <c r="G3" s="1056"/>
      <c r="H3" s="1056"/>
      <c r="I3" s="1056"/>
      <c r="J3" s="1056"/>
      <c r="K3" s="1056"/>
      <c r="L3" s="1056"/>
      <c r="M3" s="1056"/>
      <c r="N3" s="1056"/>
      <c r="O3" s="1056"/>
      <c r="P3" s="1056"/>
      <c r="Q3" s="1056"/>
      <c r="R3" s="1056"/>
      <c r="S3" s="1056"/>
      <c r="T3" s="1056"/>
      <c r="U3" s="1056"/>
      <c r="V3" s="1056"/>
      <c r="W3" s="1056"/>
      <c r="X3" s="1056"/>
      <c r="Y3" s="1053"/>
    </row>
    <row r="4" spans="1:25" s="2" customFormat="1" ht="12.6" x14ac:dyDescent="0.25"/>
    <row r="5" spans="1:25" ht="6" customHeight="1" x14ac:dyDescent="0.3">
      <c r="A5" s="3"/>
      <c r="B5" s="3"/>
      <c r="C5" s="3"/>
      <c r="D5" s="3"/>
      <c r="E5" s="3"/>
      <c r="F5" s="3"/>
      <c r="G5" s="3"/>
      <c r="H5" s="3"/>
      <c r="I5" s="3"/>
      <c r="J5" s="3"/>
      <c r="K5" s="3"/>
      <c r="L5" s="3"/>
      <c r="M5" s="3"/>
      <c r="N5" s="3"/>
      <c r="O5" s="3"/>
      <c r="P5" s="3"/>
      <c r="Q5" s="3"/>
      <c r="R5" s="3"/>
      <c r="S5" s="3"/>
      <c r="T5" s="3"/>
      <c r="U5" s="3"/>
      <c r="V5" s="3"/>
      <c r="W5" s="3"/>
      <c r="X5" s="3"/>
      <c r="Y5" s="1"/>
    </row>
    <row r="6" spans="1:25" ht="6" customHeight="1" x14ac:dyDescent="0.3">
      <c r="A6" s="3"/>
      <c r="B6" s="3"/>
      <c r="C6" s="3"/>
      <c r="D6" s="3"/>
      <c r="E6" s="3"/>
      <c r="F6" s="3"/>
      <c r="G6" s="3"/>
      <c r="H6" s="3"/>
      <c r="I6" s="3"/>
      <c r="J6" s="3"/>
      <c r="K6" s="3"/>
      <c r="L6" s="3"/>
      <c r="M6" s="3"/>
      <c r="N6" s="3"/>
      <c r="O6" s="3"/>
      <c r="P6" s="3"/>
      <c r="Q6" s="3"/>
      <c r="R6" s="3"/>
      <c r="S6" s="3"/>
      <c r="T6" s="3"/>
      <c r="U6" s="3"/>
      <c r="V6" s="3"/>
      <c r="W6" s="3"/>
      <c r="X6" s="3"/>
      <c r="Y6" s="1"/>
    </row>
    <row r="7" spans="1:25" s="7" customFormat="1" ht="12.75" customHeight="1" x14ac:dyDescent="0.2">
      <c r="A7" s="1057" t="s">
        <v>0</v>
      </c>
      <c r="B7" s="1057" t="s">
        <v>1</v>
      </c>
      <c r="C7" s="1049" t="s">
        <v>2</v>
      </c>
      <c r="D7" s="1057" t="s">
        <v>3</v>
      </c>
      <c r="E7" s="1057" t="s">
        <v>326</v>
      </c>
      <c r="F7" s="1058" t="s">
        <v>4</v>
      </c>
      <c r="G7" s="1058"/>
      <c r="H7" s="1058"/>
      <c r="I7" s="1058"/>
      <c r="J7" s="1058"/>
      <c r="K7" s="1058"/>
      <c r="L7" s="6"/>
      <c r="M7" s="5"/>
      <c r="N7" s="5"/>
      <c r="O7" s="1059" t="s">
        <v>4</v>
      </c>
      <c r="P7" s="1060"/>
      <c r="Q7" s="1061"/>
      <c r="R7" s="1049" t="s">
        <v>5</v>
      </c>
      <c r="S7" s="1049"/>
      <c r="T7" s="1049" t="s">
        <v>6</v>
      </c>
      <c r="U7" s="1049"/>
      <c r="V7" s="1048" t="s">
        <v>7</v>
      </c>
      <c r="W7" s="1048" t="s">
        <v>8</v>
      </c>
      <c r="X7" s="1049" t="s">
        <v>9</v>
      </c>
      <c r="Y7" s="1050" t="s">
        <v>10</v>
      </c>
    </row>
    <row r="8" spans="1:25" s="7" customFormat="1" ht="10.199999999999999" x14ac:dyDescent="0.2">
      <c r="A8" s="1057"/>
      <c r="B8" s="1057"/>
      <c r="C8" s="1049"/>
      <c r="D8" s="1057"/>
      <c r="E8" s="1057"/>
      <c r="F8" s="1057" t="s">
        <v>11</v>
      </c>
      <c r="G8" s="1057" t="s">
        <v>330</v>
      </c>
      <c r="H8" s="1057" t="s">
        <v>12</v>
      </c>
      <c r="I8" s="1057" t="s">
        <v>13</v>
      </c>
      <c r="J8" s="1057" t="s">
        <v>14</v>
      </c>
      <c r="K8" s="1057" t="s">
        <v>15</v>
      </c>
      <c r="L8" s="6" t="s">
        <v>16</v>
      </c>
      <c r="M8" s="5" t="s">
        <v>17</v>
      </c>
      <c r="N8" s="5" t="s">
        <v>394</v>
      </c>
      <c r="O8" s="6" t="s">
        <v>18</v>
      </c>
      <c r="P8" s="6" t="s">
        <v>19</v>
      </c>
      <c r="Q8" s="6" t="s">
        <v>398</v>
      </c>
      <c r="R8" s="1049"/>
      <c r="S8" s="1049"/>
      <c r="T8" s="1049"/>
      <c r="U8" s="1049"/>
      <c r="V8" s="1048"/>
      <c r="W8" s="1048"/>
      <c r="X8" s="1049"/>
      <c r="Y8" s="1050"/>
    </row>
    <row r="9" spans="1:25" s="7" customFormat="1" ht="18.75" customHeight="1" x14ac:dyDescent="0.2">
      <c r="A9" s="1057"/>
      <c r="B9" s="1057"/>
      <c r="C9" s="1049"/>
      <c r="D9" s="1057"/>
      <c r="E9" s="1057"/>
      <c r="F9" s="1057"/>
      <c r="G9" s="1057"/>
      <c r="H9" s="1057"/>
      <c r="I9" s="1057"/>
      <c r="J9" s="1057"/>
      <c r="K9" s="1057"/>
      <c r="L9" s="6" t="s">
        <v>20</v>
      </c>
      <c r="M9" s="5" t="s">
        <v>11</v>
      </c>
      <c r="N9" s="5" t="s">
        <v>395</v>
      </c>
      <c r="O9" s="6" t="s">
        <v>21</v>
      </c>
      <c r="P9" s="6" t="s">
        <v>22</v>
      </c>
      <c r="Q9" s="6" t="s">
        <v>397</v>
      </c>
      <c r="R9" s="1049"/>
      <c r="S9" s="1049"/>
      <c r="T9" s="1049"/>
      <c r="U9" s="1049"/>
      <c r="V9" s="1048"/>
      <c r="W9" s="1048"/>
      <c r="X9" s="1049"/>
      <c r="Y9" s="1050"/>
    </row>
    <row r="10" spans="1:25" s="7" customFormat="1" ht="18.75" customHeight="1" x14ac:dyDescent="0.2">
      <c r="A10" s="8">
        <v>1</v>
      </c>
      <c r="B10" s="91" t="s">
        <v>328</v>
      </c>
      <c r="C10" s="9" t="s">
        <v>329</v>
      </c>
      <c r="D10" s="91" t="s">
        <v>339</v>
      </c>
      <c r="E10" s="9">
        <v>51</v>
      </c>
      <c r="F10" s="9">
        <v>11</v>
      </c>
      <c r="G10" s="9">
        <v>3</v>
      </c>
      <c r="H10" s="9">
        <v>2</v>
      </c>
      <c r="I10" s="9"/>
      <c r="J10" s="9">
        <v>1</v>
      </c>
      <c r="K10" s="9"/>
      <c r="L10" s="10">
        <f>F10+(G10*2)+(H10*1.5)+(I10*1.5)+(J10*2.5)+(K10*1.5)</f>
        <v>22.5</v>
      </c>
      <c r="M10" s="9" t="s">
        <v>232</v>
      </c>
      <c r="N10" s="92">
        <v>7.4999999999999997E-2</v>
      </c>
      <c r="O10" s="10">
        <f>VLOOKUP(M10,PID!A5:B247,2,0)</f>
        <v>0.95</v>
      </c>
      <c r="P10" s="11">
        <f t="shared" ref="P10:P42" si="0">L10*O10</f>
        <v>21.375</v>
      </c>
      <c r="Q10" s="10">
        <f>P10*N10</f>
        <v>1.6031249999999999</v>
      </c>
      <c r="R10" s="1062">
        <f>11498*0.4</f>
        <v>4599.2</v>
      </c>
      <c r="S10" s="1062"/>
      <c r="T10" s="1062">
        <f>11498*0.6</f>
        <v>6898.8</v>
      </c>
      <c r="U10" s="1062"/>
      <c r="V10" s="12">
        <f>T10+R10</f>
        <v>11498</v>
      </c>
      <c r="W10" s="12">
        <f>Q10*V10</f>
        <v>18432.731250000001</v>
      </c>
      <c r="X10" s="13"/>
      <c r="Y10" s="9"/>
    </row>
    <row r="11" spans="1:25" s="7" customFormat="1" ht="18.75" customHeight="1" x14ac:dyDescent="0.2">
      <c r="A11" s="8">
        <v>2</v>
      </c>
      <c r="B11" s="91" t="s">
        <v>331</v>
      </c>
      <c r="C11" s="9" t="s">
        <v>332</v>
      </c>
      <c r="D11" s="91" t="s">
        <v>339</v>
      </c>
      <c r="E11" s="9">
        <v>51</v>
      </c>
      <c r="F11" s="9">
        <v>14</v>
      </c>
      <c r="G11" s="9">
        <v>4</v>
      </c>
      <c r="H11" s="9">
        <v>2</v>
      </c>
      <c r="I11" s="9"/>
      <c r="J11" s="9">
        <v>1</v>
      </c>
      <c r="K11" s="9"/>
      <c r="L11" s="10">
        <f t="shared" ref="L11:L72" si="1">F11+(G11*2)+(H11*1.5)+(I11*1.5)+(J11*2.5)+(K11*1.5)</f>
        <v>27.5</v>
      </c>
      <c r="M11" s="9" t="s">
        <v>250</v>
      </c>
      <c r="N11" s="92">
        <v>7.4999999999999997E-2</v>
      </c>
      <c r="O11" s="10">
        <f>VLOOKUP(M11,PID!A6:B248,2,0)</f>
        <v>0.78</v>
      </c>
      <c r="P11" s="11">
        <f t="shared" si="0"/>
        <v>21.45</v>
      </c>
      <c r="Q11" s="10">
        <f t="shared" ref="Q11:Q72" si="2">P11*N11</f>
        <v>1.6087499999999999</v>
      </c>
      <c r="R11" s="1062">
        <f t="shared" ref="R11:R72" si="3">11498*0.4</f>
        <v>4599.2</v>
      </c>
      <c r="S11" s="1062"/>
      <c r="T11" s="1062">
        <f t="shared" ref="T11:T72" si="4">11498*0.6</f>
        <v>6898.8</v>
      </c>
      <c r="U11" s="1062"/>
      <c r="V11" s="12">
        <f t="shared" ref="V11:V72" si="5">T11+R11</f>
        <v>11498</v>
      </c>
      <c r="W11" s="12">
        <f t="shared" ref="W11:W72" si="6">Q11*V11</f>
        <v>18497.407499999998</v>
      </c>
      <c r="X11" s="13"/>
      <c r="Y11" s="9"/>
    </row>
    <row r="12" spans="1:25" s="7" customFormat="1" ht="18.75" customHeight="1" x14ac:dyDescent="0.2">
      <c r="A12" s="8">
        <v>3</v>
      </c>
      <c r="B12" s="91" t="s">
        <v>335</v>
      </c>
      <c r="C12" s="9" t="s">
        <v>336</v>
      </c>
      <c r="D12" s="91" t="s">
        <v>340</v>
      </c>
      <c r="E12" s="9">
        <v>51</v>
      </c>
      <c r="F12" s="9">
        <v>31</v>
      </c>
      <c r="G12" s="9">
        <v>7</v>
      </c>
      <c r="H12" s="9"/>
      <c r="I12" s="9"/>
      <c r="J12" s="9"/>
      <c r="K12" s="9"/>
      <c r="L12" s="10">
        <f t="shared" si="1"/>
        <v>45</v>
      </c>
      <c r="M12" s="9" t="s">
        <v>176</v>
      </c>
      <c r="N12" s="92">
        <v>0.1</v>
      </c>
      <c r="O12" s="10">
        <f>VLOOKUP(M12,PID!A7:B249,2,0)</f>
        <v>2.1</v>
      </c>
      <c r="P12" s="11">
        <f t="shared" si="0"/>
        <v>94.5</v>
      </c>
      <c r="Q12" s="10">
        <f t="shared" si="2"/>
        <v>9.4500000000000011</v>
      </c>
      <c r="R12" s="1062">
        <f t="shared" si="3"/>
        <v>4599.2</v>
      </c>
      <c r="S12" s="1062"/>
      <c r="T12" s="1062">
        <f t="shared" si="4"/>
        <v>6898.8</v>
      </c>
      <c r="U12" s="1062"/>
      <c r="V12" s="12">
        <f t="shared" si="5"/>
        <v>11498</v>
      </c>
      <c r="W12" s="12">
        <f t="shared" si="6"/>
        <v>108656.1</v>
      </c>
      <c r="X12" s="13"/>
      <c r="Y12" s="9"/>
    </row>
    <row r="13" spans="1:25" s="7" customFormat="1" ht="18.75" customHeight="1" x14ac:dyDescent="0.2">
      <c r="A13" s="8">
        <v>4</v>
      </c>
      <c r="B13" s="91" t="s">
        <v>337</v>
      </c>
      <c r="C13" s="9" t="s">
        <v>338</v>
      </c>
      <c r="D13" s="91" t="s">
        <v>341</v>
      </c>
      <c r="E13" s="9">
        <v>51</v>
      </c>
      <c r="F13" s="9">
        <v>71.8</v>
      </c>
      <c r="G13" s="9">
        <v>14</v>
      </c>
      <c r="H13" s="9"/>
      <c r="I13" s="9"/>
      <c r="J13" s="9"/>
      <c r="K13" s="9">
        <v>7</v>
      </c>
      <c r="L13" s="10">
        <f t="shared" si="1"/>
        <v>110.3</v>
      </c>
      <c r="M13" s="9" t="s">
        <v>176</v>
      </c>
      <c r="N13" s="92">
        <v>0.1</v>
      </c>
      <c r="O13" s="10">
        <f>VLOOKUP(M13,PID!A8:B250,2,0)</f>
        <v>2.1</v>
      </c>
      <c r="P13" s="11">
        <f t="shared" si="0"/>
        <v>231.63</v>
      </c>
      <c r="Q13" s="10">
        <f t="shared" si="2"/>
        <v>23.163</v>
      </c>
      <c r="R13" s="1062">
        <f t="shared" si="3"/>
        <v>4599.2</v>
      </c>
      <c r="S13" s="1062"/>
      <c r="T13" s="1062">
        <f t="shared" si="4"/>
        <v>6898.8</v>
      </c>
      <c r="U13" s="1062"/>
      <c r="V13" s="12">
        <f t="shared" si="5"/>
        <v>11498</v>
      </c>
      <c r="W13" s="12">
        <f t="shared" si="6"/>
        <v>266328.174</v>
      </c>
      <c r="X13" s="13"/>
      <c r="Y13" s="9"/>
    </row>
    <row r="14" spans="1:25" s="7" customFormat="1" ht="18.75" customHeight="1" x14ac:dyDescent="0.2">
      <c r="A14" s="8">
        <v>5</v>
      </c>
      <c r="B14" s="91" t="s">
        <v>337</v>
      </c>
      <c r="C14" s="9" t="s">
        <v>338</v>
      </c>
      <c r="D14" s="93" t="s">
        <v>342</v>
      </c>
      <c r="E14" s="92">
        <v>51</v>
      </c>
      <c r="F14" s="96">
        <v>26.681000000000001</v>
      </c>
      <c r="G14" s="9">
        <v>5</v>
      </c>
      <c r="H14" s="9"/>
      <c r="I14" s="9"/>
      <c r="J14" s="9">
        <v>1</v>
      </c>
      <c r="K14" s="9">
        <v>1</v>
      </c>
      <c r="L14" s="10">
        <f t="shared" si="1"/>
        <v>40.680999999999997</v>
      </c>
      <c r="M14" s="9" t="s">
        <v>176</v>
      </c>
      <c r="N14" s="92">
        <v>0.1</v>
      </c>
      <c r="O14" s="10">
        <f>VLOOKUP(M14,PID!A9:B251,2,0)</f>
        <v>2.1</v>
      </c>
      <c r="P14" s="11">
        <f t="shared" si="0"/>
        <v>85.430099999999996</v>
      </c>
      <c r="Q14" s="10">
        <f t="shared" si="2"/>
        <v>8.5430100000000007</v>
      </c>
      <c r="R14" s="1062">
        <f t="shared" si="3"/>
        <v>4599.2</v>
      </c>
      <c r="S14" s="1062"/>
      <c r="T14" s="1062">
        <f t="shared" si="4"/>
        <v>6898.8</v>
      </c>
      <c r="U14" s="1062"/>
      <c r="V14" s="12">
        <f t="shared" si="5"/>
        <v>11498</v>
      </c>
      <c r="W14" s="12">
        <f t="shared" si="6"/>
        <v>98227.528980000003</v>
      </c>
      <c r="X14" s="13"/>
      <c r="Y14" s="9"/>
    </row>
    <row r="15" spans="1:25" s="7" customFormat="1" ht="18.75" customHeight="1" x14ac:dyDescent="0.2">
      <c r="A15" s="8">
        <v>6</v>
      </c>
      <c r="B15" s="91" t="s">
        <v>343</v>
      </c>
      <c r="C15" s="92" t="s">
        <v>344</v>
      </c>
      <c r="D15" s="93" t="s">
        <v>342</v>
      </c>
      <c r="E15" s="92">
        <v>51</v>
      </c>
      <c r="F15" s="99">
        <f>4.5/4</f>
        <v>1.125</v>
      </c>
      <c r="G15" s="9"/>
      <c r="H15" s="9">
        <v>2</v>
      </c>
      <c r="I15" s="9"/>
      <c r="J15" s="9">
        <v>1</v>
      </c>
      <c r="K15" s="9"/>
      <c r="L15" s="10">
        <f t="shared" si="1"/>
        <v>6.625</v>
      </c>
      <c r="M15" s="9" t="s">
        <v>221</v>
      </c>
      <c r="N15" s="92">
        <v>0.1</v>
      </c>
      <c r="O15" s="10">
        <f>VLOOKUP(M15,PID!A10:B252,2,0)</f>
        <v>1.35</v>
      </c>
      <c r="P15" s="11">
        <f t="shared" si="0"/>
        <v>8.9437500000000014</v>
      </c>
      <c r="Q15" s="10">
        <f t="shared" si="2"/>
        <v>0.89437500000000014</v>
      </c>
      <c r="R15" s="1062">
        <f t="shared" si="3"/>
        <v>4599.2</v>
      </c>
      <c r="S15" s="1062"/>
      <c r="T15" s="1062">
        <f t="shared" si="4"/>
        <v>6898.8</v>
      </c>
      <c r="U15" s="1062"/>
      <c r="V15" s="12">
        <f t="shared" si="5"/>
        <v>11498</v>
      </c>
      <c r="W15" s="12">
        <f t="shared" si="6"/>
        <v>10283.523750000002</v>
      </c>
      <c r="X15" s="13"/>
      <c r="Y15" s="9"/>
    </row>
    <row r="16" spans="1:25" s="7" customFormat="1" ht="19.5" customHeight="1" x14ac:dyDescent="0.2">
      <c r="A16" s="8">
        <v>7</v>
      </c>
      <c r="B16" s="91" t="s">
        <v>345</v>
      </c>
      <c r="C16" s="94" t="s">
        <v>344</v>
      </c>
      <c r="D16" s="93" t="s">
        <v>342</v>
      </c>
      <c r="E16" s="92">
        <v>51</v>
      </c>
      <c r="F16" s="99">
        <f>4.5/4</f>
        <v>1.125</v>
      </c>
      <c r="G16" s="9"/>
      <c r="H16" s="9"/>
      <c r="I16" s="9"/>
      <c r="J16" s="9"/>
      <c r="K16" s="9"/>
      <c r="L16" s="10">
        <f t="shared" si="1"/>
        <v>1.125</v>
      </c>
      <c r="M16" s="9" t="s">
        <v>221</v>
      </c>
      <c r="N16" s="92">
        <v>0.1</v>
      </c>
      <c r="O16" s="10">
        <f>VLOOKUP(M16,PID!A11:B253,2,0)</f>
        <v>1.35</v>
      </c>
      <c r="P16" s="11">
        <f t="shared" si="0"/>
        <v>1.51875</v>
      </c>
      <c r="Q16" s="10">
        <f t="shared" si="2"/>
        <v>0.15187500000000001</v>
      </c>
      <c r="R16" s="1062">
        <f t="shared" si="3"/>
        <v>4599.2</v>
      </c>
      <c r="S16" s="1062"/>
      <c r="T16" s="1062">
        <f t="shared" si="4"/>
        <v>6898.8</v>
      </c>
      <c r="U16" s="1062"/>
      <c r="V16" s="12">
        <f t="shared" si="5"/>
        <v>11498</v>
      </c>
      <c r="W16" s="12">
        <f t="shared" si="6"/>
        <v>1746.2587500000002</v>
      </c>
      <c r="X16" s="13"/>
      <c r="Y16" s="9"/>
    </row>
    <row r="17" spans="1:25" s="7" customFormat="1" ht="21" customHeight="1" x14ac:dyDescent="0.2">
      <c r="A17" s="8">
        <v>8</v>
      </c>
      <c r="B17" s="91" t="s">
        <v>346</v>
      </c>
      <c r="C17" s="94" t="s">
        <v>344</v>
      </c>
      <c r="D17" s="93" t="s">
        <v>342</v>
      </c>
      <c r="E17" s="92">
        <v>51</v>
      </c>
      <c r="F17" s="99">
        <f>4.5/4</f>
        <v>1.125</v>
      </c>
      <c r="G17" s="9"/>
      <c r="H17" s="9"/>
      <c r="I17" s="9"/>
      <c r="J17" s="9"/>
      <c r="K17" s="9"/>
      <c r="L17" s="10">
        <f t="shared" si="1"/>
        <v>1.125</v>
      </c>
      <c r="M17" s="9" t="s">
        <v>221</v>
      </c>
      <c r="N17" s="92">
        <v>0.1</v>
      </c>
      <c r="O17" s="10">
        <f>VLOOKUP(M17,PID!A12:B254,2,0)</f>
        <v>1.35</v>
      </c>
      <c r="P17" s="11">
        <f t="shared" si="0"/>
        <v>1.51875</v>
      </c>
      <c r="Q17" s="10">
        <f t="shared" si="2"/>
        <v>0.15187500000000001</v>
      </c>
      <c r="R17" s="1062">
        <f t="shared" si="3"/>
        <v>4599.2</v>
      </c>
      <c r="S17" s="1062"/>
      <c r="T17" s="1062">
        <f t="shared" si="4"/>
        <v>6898.8</v>
      </c>
      <c r="U17" s="1062"/>
      <c r="V17" s="12">
        <f t="shared" si="5"/>
        <v>11498</v>
      </c>
      <c r="W17" s="12">
        <f t="shared" si="6"/>
        <v>1746.2587500000002</v>
      </c>
      <c r="X17" s="13"/>
      <c r="Y17" s="9"/>
    </row>
    <row r="18" spans="1:25" s="7" customFormat="1" ht="18.75" customHeight="1" x14ac:dyDescent="0.2">
      <c r="A18" s="8">
        <v>9</v>
      </c>
      <c r="B18" s="91" t="s">
        <v>347</v>
      </c>
      <c r="C18" s="94" t="s">
        <v>344</v>
      </c>
      <c r="D18" s="93" t="s">
        <v>342</v>
      </c>
      <c r="E18" s="92">
        <v>51</v>
      </c>
      <c r="F18" s="99">
        <f>4.5/4</f>
        <v>1.125</v>
      </c>
      <c r="G18" s="9"/>
      <c r="H18" s="9"/>
      <c r="I18" s="9"/>
      <c r="J18" s="9"/>
      <c r="K18" s="9"/>
      <c r="L18" s="10">
        <f t="shared" si="1"/>
        <v>1.125</v>
      </c>
      <c r="M18" s="9" t="s">
        <v>221</v>
      </c>
      <c r="N18" s="92">
        <v>0.1</v>
      </c>
      <c r="O18" s="10">
        <f>VLOOKUP(M18,PID!A13:B255,2,0)</f>
        <v>1.35</v>
      </c>
      <c r="P18" s="11">
        <f t="shared" si="0"/>
        <v>1.51875</v>
      </c>
      <c r="Q18" s="10">
        <f t="shared" si="2"/>
        <v>0.15187500000000001</v>
      </c>
      <c r="R18" s="1062">
        <f t="shared" si="3"/>
        <v>4599.2</v>
      </c>
      <c r="S18" s="1062"/>
      <c r="T18" s="1062">
        <f t="shared" si="4"/>
        <v>6898.8</v>
      </c>
      <c r="U18" s="1062"/>
      <c r="V18" s="12">
        <f>T18+R18</f>
        <v>11498</v>
      </c>
      <c r="W18" s="12">
        <f t="shared" si="6"/>
        <v>1746.2587500000002</v>
      </c>
      <c r="X18" s="13"/>
      <c r="Y18" s="9"/>
    </row>
    <row r="19" spans="1:25" s="7" customFormat="1" ht="18.75" customHeight="1" x14ac:dyDescent="0.2">
      <c r="A19" s="8">
        <v>10</v>
      </c>
      <c r="B19" s="92" t="s">
        <v>348</v>
      </c>
      <c r="C19" s="94" t="s">
        <v>349</v>
      </c>
      <c r="D19" s="93" t="s">
        <v>342</v>
      </c>
      <c r="E19" s="92">
        <v>51</v>
      </c>
      <c r="F19" s="99">
        <v>6</v>
      </c>
      <c r="G19" s="9"/>
      <c r="H19" s="9"/>
      <c r="I19" s="9"/>
      <c r="J19" s="9"/>
      <c r="K19" s="9"/>
      <c r="L19" s="10">
        <f t="shared" si="1"/>
        <v>6</v>
      </c>
      <c r="M19" s="9" t="s">
        <v>203</v>
      </c>
      <c r="N19" s="92">
        <v>0.1</v>
      </c>
      <c r="O19" s="10">
        <f>VLOOKUP(M19,PID!A14:B256,2,0)</f>
        <v>1.68</v>
      </c>
      <c r="P19" s="11">
        <f t="shared" si="0"/>
        <v>10.08</v>
      </c>
      <c r="Q19" s="10">
        <f t="shared" si="2"/>
        <v>1.008</v>
      </c>
      <c r="R19" s="1062">
        <f t="shared" si="3"/>
        <v>4599.2</v>
      </c>
      <c r="S19" s="1062"/>
      <c r="T19" s="1062">
        <f t="shared" si="4"/>
        <v>6898.8</v>
      </c>
      <c r="U19" s="1062"/>
      <c r="V19" s="12">
        <f t="shared" si="5"/>
        <v>11498</v>
      </c>
      <c r="W19" s="12">
        <f t="shared" si="6"/>
        <v>11589.984</v>
      </c>
      <c r="X19" s="13"/>
      <c r="Y19" s="9"/>
    </row>
    <row r="20" spans="1:25" s="7" customFormat="1" ht="18.75" customHeight="1" x14ac:dyDescent="0.2">
      <c r="A20" s="8">
        <v>11</v>
      </c>
      <c r="B20" s="91" t="s">
        <v>335</v>
      </c>
      <c r="C20" s="94" t="s">
        <v>350</v>
      </c>
      <c r="D20" s="93" t="s">
        <v>342</v>
      </c>
      <c r="E20" s="92">
        <v>51</v>
      </c>
      <c r="F20" s="100">
        <v>28.318999999999999</v>
      </c>
      <c r="G20" s="9"/>
      <c r="H20" s="9"/>
      <c r="I20" s="9"/>
      <c r="J20" s="9"/>
      <c r="K20" s="9"/>
      <c r="L20" s="10">
        <f t="shared" si="1"/>
        <v>28.318999999999999</v>
      </c>
      <c r="M20" s="9" t="s">
        <v>176</v>
      </c>
      <c r="N20" s="92">
        <v>0.1</v>
      </c>
      <c r="O20" s="10">
        <f>VLOOKUP(M20,PID!A15:B257,2,0)</f>
        <v>2.1</v>
      </c>
      <c r="P20" s="11">
        <f t="shared" si="0"/>
        <v>59.469900000000003</v>
      </c>
      <c r="Q20" s="10">
        <f t="shared" si="2"/>
        <v>5.9469900000000004</v>
      </c>
      <c r="R20" s="1062">
        <f t="shared" si="3"/>
        <v>4599.2</v>
      </c>
      <c r="S20" s="1062"/>
      <c r="T20" s="1062">
        <f t="shared" si="4"/>
        <v>6898.8</v>
      </c>
      <c r="U20" s="1062"/>
      <c r="V20" s="12">
        <f t="shared" si="5"/>
        <v>11498</v>
      </c>
      <c r="W20" s="12">
        <f t="shared" si="6"/>
        <v>68378.491020000001</v>
      </c>
      <c r="X20" s="13"/>
      <c r="Y20" s="9"/>
    </row>
    <row r="21" spans="1:25" s="7" customFormat="1" ht="18.75" customHeight="1" x14ac:dyDescent="0.2">
      <c r="A21" s="8">
        <v>12</v>
      </c>
      <c r="B21" s="92" t="s">
        <v>337</v>
      </c>
      <c r="C21" s="94" t="s">
        <v>352</v>
      </c>
      <c r="D21" s="95" t="s">
        <v>351</v>
      </c>
      <c r="E21" s="94">
        <v>51</v>
      </c>
      <c r="F21" s="99">
        <v>24</v>
      </c>
      <c r="G21" s="9">
        <v>6</v>
      </c>
      <c r="H21" s="9"/>
      <c r="I21" s="9"/>
      <c r="J21" s="9"/>
      <c r="K21" s="9"/>
      <c r="L21" s="10">
        <f t="shared" si="1"/>
        <v>36</v>
      </c>
      <c r="M21" s="9" t="s">
        <v>176</v>
      </c>
      <c r="N21" s="92">
        <v>0.1</v>
      </c>
      <c r="O21" s="10">
        <f>VLOOKUP(M21,PID!A16:B258,2,0)</f>
        <v>2.1</v>
      </c>
      <c r="P21" s="11">
        <f t="shared" si="0"/>
        <v>75.600000000000009</v>
      </c>
      <c r="Q21" s="10">
        <f t="shared" si="2"/>
        <v>7.5600000000000014</v>
      </c>
      <c r="R21" s="1062">
        <f t="shared" si="3"/>
        <v>4599.2</v>
      </c>
      <c r="S21" s="1062"/>
      <c r="T21" s="1062">
        <f t="shared" si="4"/>
        <v>6898.8</v>
      </c>
      <c r="U21" s="1062"/>
      <c r="V21" s="12">
        <f t="shared" si="5"/>
        <v>11498</v>
      </c>
      <c r="W21" s="12">
        <f t="shared" si="6"/>
        <v>86924.880000000019</v>
      </c>
      <c r="X21" s="13"/>
      <c r="Y21" s="9"/>
    </row>
    <row r="22" spans="1:25" s="7" customFormat="1" ht="18.75" customHeight="1" x14ac:dyDescent="0.2">
      <c r="A22" s="8">
        <v>13</v>
      </c>
      <c r="B22" s="92" t="s">
        <v>353</v>
      </c>
      <c r="C22" s="92" t="s">
        <v>354</v>
      </c>
      <c r="D22" s="93" t="s">
        <v>355</v>
      </c>
      <c r="E22" s="92">
        <v>51</v>
      </c>
      <c r="F22" s="99">
        <v>20</v>
      </c>
      <c r="G22" s="9">
        <v>6</v>
      </c>
      <c r="H22" s="9"/>
      <c r="I22" s="9"/>
      <c r="J22" s="9"/>
      <c r="K22" s="9">
        <v>1</v>
      </c>
      <c r="L22" s="10">
        <f t="shared" si="1"/>
        <v>33.5</v>
      </c>
      <c r="M22" s="9" t="s">
        <v>205</v>
      </c>
      <c r="N22" s="92">
        <v>7.4999999999999997E-2</v>
      </c>
      <c r="O22" s="10">
        <f>VLOOKUP(M22,PID!A17:B259,2,0)</f>
        <v>1.52</v>
      </c>
      <c r="P22" s="11">
        <f t="shared" si="0"/>
        <v>50.92</v>
      </c>
      <c r="Q22" s="10">
        <f t="shared" si="2"/>
        <v>3.819</v>
      </c>
      <c r="R22" s="1062">
        <f t="shared" si="3"/>
        <v>4599.2</v>
      </c>
      <c r="S22" s="1062"/>
      <c r="T22" s="1062">
        <f t="shared" si="4"/>
        <v>6898.8</v>
      </c>
      <c r="U22" s="1062"/>
      <c r="V22" s="12">
        <f t="shared" si="5"/>
        <v>11498</v>
      </c>
      <c r="W22" s="12">
        <f t="shared" si="6"/>
        <v>43910.862000000001</v>
      </c>
      <c r="X22" s="13"/>
      <c r="Y22" s="9"/>
    </row>
    <row r="23" spans="1:25" s="7" customFormat="1" ht="18.75" customHeight="1" x14ac:dyDescent="0.2">
      <c r="A23" s="8">
        <v>14</v>
      </c>
      <c r="B23" s="92" t="s">
        <v>356</v>
      </c>
      <c r="C23" s="92" t="s">
        <v>357</v>
      </c>
      <c r="D23" s="93" t="s">
        <v>373</v>
      </c>
      <c r="E23" s="92">
        <v>51</v>
      </c>
      <c r="F23" s="99">
        <v>9.8000000000000007</v>
      </c>
      <c r="G23" s="9"/>
      <c r="H23" s="9"/>
      <c r="I23" s="9"/>
      <c r="J23" s="9"/>
      <c r="K23" s="9">
        <v>1</v>
      </c>
      <c r="L23" s="10">
        <f t="shared" si="1"/>
        <v>11.3</v>
      </c>
      <c r="M23" s="9" t="s">
        <v>187</v>
      </c>
      <c r="N23" s="92">
        <v>7.4999999999999997E-2</v>
      </c>
      <c r="O23" s="10">
        <f>VLOOKUP(M23,PID!A18:B260,2,0)</f>
        <v>1.78</v>
      </c>
      <c r="P23" s="11">
        <f t="shared" si="0"/>
        <v>20.114000000000001</v>
      </c>
      <c r="Q23" s="10">
        <f t="shared" si="2"/>
        <v>1.5085500000000001</v>
      </c>
      <c r="R23" s="1062">
        <f t="shared" si="3"/>
        <v>4599.2</v>
      </c>
      <c r="S23" s="1062"/>
      <c r="T23" s="1062">
        <f t="shared" si="4"/>
        <v>6898.8</v>
      </c>
      <c r="U23" s="1062"/>
      <c r="V23" s="12">
        <f t="shared" si="5"/>
        <v>11498</v>
      </c>
      <c r="W23" s="12">
        <f t="shared" si="6"/>
        <v>17345.3079</v>
      </c>
      <c r="X23" s="13"/>
      <c r="Y23" s="9"/>
    </row>
    <row r="24" spans="1:25" s="7" customFormat="1" ht="18.75" customHeight="1" x14ac:dyDescent="0.2">
      <c r="A24" s="8">
        <v>15</v>
      </c>
      <c r="B24" s="92" t="s">
        <v>359</v>
      </c>
      <c r="C24" s="92" t="s">
        <v>360</v>
      </c>
      <c r="D24" s="93" t="s">
        <v>373</v>
      </c>
      <c r="E24" s="92">
        <v>51</v>
      </c>
      <c r="F24" s="100">
        <v>8.6549999999999994</v>
      </c>
      <c r="G24" s="9">
        <v>3</v>
      </c>
      <c r="H24" s="9"/>
      <c r="I24" s="9"/>
      <c r="J24" s="9"/>
      <c r="K24" s="9">
        <v>1</v>
      </c>
      <c r="L24" s="10">
        <f t="shared" si="1"/>
        <v>16.155000000000001</v>
      </c>
      <c r="M24" s="9" t="s">
        <v>187</v>
      </c>
      <c r="N24" s="92">
        <v>7.4999999999999997E-2</v>
      </c>
      <c r="O24" s="10">
        <f>VLOOKUP(M24,PID!A19:B261,2,0)</f>
        <v>1.78</v>
      </c>
      <c r="P24" s="11">
        <f t="shared" si="0"/>
        <v>28.755900000000004</v>
      </c>
      <c r="Q24" s="10">
        <f t="shared" si="2"/>
        <v>2.1566925000000001</v>
      </c>
      <c r="R24" s="1062">
        <f t="shared" si="3"/>
        <v>4599.2</v>
      </c>
      <c r="S24" s="1062"/>
      <c r="T24" s="1062">
        <f t="shared" si="4"/>
        <v>6898.8</v>
      </c>
      <c r="U24" s="1062"/>
      <c r="V24" s="12">
        <f t="shared" si="5"/>
        <v>11498</v>
      </c>
      <c r="W24" s="12">
        <f t="shared" si="6"/>
        <v>24797.650365000001</v>
      </c>
      <c r="X24" s="13"/>
      <c r="Y24" s="9"/>
    </row>
    <row r="25" spans="1:25" s="7" customFormat="1" ht="18.75" customHeight="1" x14ac:dyDescent="0.2">
      <c r="A25" s="8">
        <v>16</v>
      </c>
      <c r="B25" s="92" t="s">
        <v>361</v>
      </c>
      <c r="C25" s="92" t="s">
        <v>362</v>
      </c>
      <c r="D25" s="93" t="s">
        <v>373</v>
      </c>
      <c r="E25" s="92">
        <v>51</v>
      </c>
      <c r="F25" s="99">
        <v>29.545000000000002</v>
      </c>
      <c r="G25" s="9">
        <v>8</v>
      </c>
      <c r="H25" s="9">
        <v>4</v>
      </c>
      <c r="I25" s="9"/>
      <c r="J25" s="9">
        <v>2</v>
      </c>
      <c r="K25" s="9">
        <v>1</v>
      </c>
      <c r="L25" s="10">
        <f t="shared" si="1"/>
        <v>58.045000000000002</v>
      </c>
      <c r="M25" s="9" t="s">
        <v>187</v>
      </c>
      <c r="N25" s="92">
        <v>7.4999999999999997E-2</v>
      </c>
      <c r="O25" s="10">
        <f>VLOOKUP(M25,PID!A20:B262,2,0)</f>
        <v>1.78</v>
      </c>
      <c r="P25" s="11">
        <f t="shared" si="0"/>
        <v>103.32010000000001</v>
      </c>
      <c r="Q25" s="10">
        <f t="shared" si="2"/>
        <v>7.7490075000000003</v>
      </c>
      <c r="R25" s="1062">
        <f t="shared" si="3"/>
        <v>4599.2</v>
      </c>
      <c r="S25" s="1062"/>
      <c r="T25" s="1062">
        <f t="shared" si="4"/>
        <v>6898.8</v>
      </c>
      <c r="U25" s="1062"/>
      <c r="V25" s="12">
        <f t="shared" si="5"/>
        <v>11498</v>
      </c>
      <c r="W25" s="12">
        <f t="shared" si="6"/>
        <v>89098.088235000003</v>
      </c>
      <c r="X25" s="13"/>
      <c r="Y25" s="9"/>
    </row>
    <row r="26" spans="1:25" s="7" customFormat="1" ht="18.75" customHeight="1" x14ac:dyDescent="0.2">
      <c r="A26" s="8">
        <v>17</v>
      </c>
      <c r="B26" s="91" t="s">
        <v>363</v>
      </c>
      <c r="C26" s="92" t="s">
        <v>364</v>
      </c>
      <c r="D26" s="93" t="s">
        <v>358</v>
      </c>
      <c r="E26" s="92">
        <v>51</v>
      </c>
      <c r="F26" s="9">
        <v>48.9</v>
      </c>
      <c r="G26" s="9">
        <v>14</v>
      </c>
      <c r="H26" s="9"/>
      <c r="I26" s="9">
        <v>2</v>
      </c>
      <c r="J26" s="9"/>
      <c r="K26" s="9">
        <v>3</v>
      </c>
      <c r="L26" s="10">
        <f t="shared" si="1"/>
        <v>84.4</v>
      </c>
      <c r="M26" s="9" t="s">
        <v>169</v>
      </c>
      <c r="N26" s="92">
        <v>7.4999999999999997E-2</v>
      </c>
      <c r="O26" s="10">
        <f>VLOOKUP(M26,PID!A21:B263,2,0)</f>
        <v>2.1</v>
      </c>
      <c r="P26" s="11">
        <f t="shared" si="0"/>
        <v>177.24</v>
      </c>
      <c r="Q26" s="10">
        <f t="shared" si="2"/>
        <v>13.293000000000001</v>
      </c>
      <c r="R26" s="1062">
        <f t="shared" si="3"/>
        <v>4599.2</v>
      </c>
      <c r="S26" s="1062"/>
      <c r="T26" s="1062">
        <f t="shared" si="4"/>
        <v>6898.8</v>
      </c>
      <c r="U26" s="1062"/>
      <c r="V26" s="12">
        <f t="shared" si="5"/>
        <v>11498</v>
      </c>
      <c r="W26" s="12">
        <f t="shared" si="6"/>
        <v>152842.91400000002</v>
      </c>
      <c r="X26" s="13"/>
      <c r="Y26" s="9"/>
    </row>
    <row r="27" spans="1:25" s="7" customFormat="1" ht="18.75" customHeight="1" x14ac:dyDescent="0.2">
      <c r="A27" s="8">
        <v>18</v>
      </c>
      <c r="B27" s="91" t="s">
        <v>356</v>
      </c>
      <c r="C27" s="92" t="s">
        <v>357</v>
      </c>
      <c r="D27" s="93" t="s">
        <v>358</v>
      </c>
      <c r="E27" s="92">
        <v>51</v>
      </c>
      <c r="F27" s="9">
        <v>22</v>
      </c>
      <c r="G27" s="9">
        <v>8</v>
      </c>
      <c r="H27" s="9"/>
      <c r="I27" s="9"/>
      <c r="J27" s="9"/>
      <c r="K27" s="9"/>
      <c r="L27" s="10">
        <f t="shared" si="1"/>
        <v>38</v>
      </c>
      <c r="M27" s="9" t="s">
        <v>187</v>
      </c>
      <c r="N27" s="92">
        <v>7.4999999999999997E-2</v>
      </c>
      <c r="O27" s="10">
        <f>VLOOKUP(M27,PID!A7:B249,2,0)</f>
        <v>1.78</v>
      </c>
      <c r="P27" s="11">
        <f t="shared" si="0"/>
        <v>67.64</v>
      </c>
      <c r="Q27" s="10">
        <f t="shared" si="2"/>
        <v>5.0729999999999995</v>
      </c>
      <c r="R27" s="1062">
        <f t="shared" si="3"/>
        <v>4599.2</v>
      </c>
      <c r="S27" s="1062"/>
      <c r="T27" s="1062">
        <f t="shared" si="4"/>
        <v>6898.8</v>
      </c>
      <c r="U27" s="1062"/>
      <c r="V27" s="12">
        <f t="shared" si="5"/>
        <v>11498</v>
      </c>
      <c r="W27" s="12">
        <f t="shared" si="6"/>
        <v>58329.353999999992</v>
      </c>
      <c r="X27" s="13"/>
      <c r="Y27" s="9"/>
    </row>
    <row r="28" spans="1:25" s="7" customFormat="1" ht="18.75" customHeight="1" x14ac:dyDescent="0.2">
      <c r="A28" s="8">
        <v>19</v>
      </c>
      <c r="B28" s="91" t="s">
        <v>365</v>
      </c>
      <c r="C28" s="92" t="s">
        <v>368</v>
      </c>
      <c r="D28" s="93" t="s">
        <v>367</v>
      </c>
      <c r="E28" s="92">
        <v>51</v>
      </c>
      <c r="F28" s="9">
        <v>27.94</v>
      </c>
      <c r="G28" s="9">
        <v>7</v>
      </c>
      <c r="H28" s="9"/>
      <c r="I28" s="9"/>
      <c r="J28" s="9"/>
      <c r="K28" s="9">
        <v>1</v>
      </c>
      <c r="L28" s="10">
        <f t="shared" si="1"/>
        <v>43.44</v>
      </c>
      <c r="M28" s="9" t="s">
        <v>203</v>
      </c>
      <c r="N28" s="92">
        <v>0.1</v>
      </c>
      <c r="O28" s="10">
        <f>VLOOKUP(M28,PID!A8:B250,2,0)</f>
        <v>1.68</v>
      </c>
      <c r="P28" s="11">
        <f t="shared" si="0"/>
        <v>72.979199999999992</v>
      </c>
      <c r="Q28" s="10">
        <f t="shared" si="2"/>
        <v>7.2979199999999995</v>
      </c>
      <c r="R28" s="1062">
        <f t="shared" si="3"/>
        <v>4599.2</v>
      </c>
      <c r="S28" s="1062"/>
      <c r="T28" s="1062">
        <f t="shared" si="4"/>
        <v>6898.8</v>
      </c>
      <c r="U28" s="1062"/>
      <c r="V28" s="12">
        <f t="shared" si="5"/>
        <v>11498</v>
      </c>
      <c r="W28" s="12">
        <f t="shared" si="6"/>
        <v>83911.484159999993</v>
      </c>
      <c r="X28" s="13"/>
      <c r="Y28" s="9"/>
    </row>
    <row r="29" spans="1:25" s="7" customFormat="1" ht="18.75" customHeight="1" x14ac:dyDescent="0.2">
      <c r="A29" s="8">
        <v>20</v>
      </c>
      <c r="B29" s="91" t="s">
        <v>366</v>
      </c>
      <c r="C29" s="92" t="s">
        <v>369</v>
      </c>
      <c r="D29" s="93" t="s">
        <v>367</v>
      </c>
      <c r="E29" s="92">
        <v>51</v>
      </c>
      <c r="F29" s="9">
        <v>6.06</v>
      </c>
      <c r="G29" s="9">
        <v>1</v>
      </c>
      <c r="H29" s="9"/>
      <c r="I29" s="9"/>
      <c r="J29" s="9">
        <v>1</v>
      </c>
      <c r="K29" s="9"/>
      <c r="L29" s="10">
        <f t="shared" si="1"/>
        <v>10.559999999999999</v>
      </c>
      <c r="M29" s="9" t="s">
        <v>203</v>
      </c>
      <c r="N29" s="92">
        <v>0.1</v>
      </c>
      <c r="O29" s="10">
        <f>VLOOKUP(M29,PID!A9:B251,2,0)</f>
        <v>1.68</v>
      </c>
      <c r="P29" s="11">
        <f t="shared" si="0"/>
        <v>17.740799999999997</v>
      </c>
      <c r="Q29" s="10">
        <f t="shared" si="2"/>
        <v>1.7740799999999997</v>
      </c>
      <c r="R29" s="1062">
        <f t="shared" si="3"/>
        <v>4599.2</v>
      </c>
      <c r="S29" s="1062"/>
      <c r="T29" s="1062">
        <f t="shared" si="4"/>
        <v>6898.8</v>
      </c>
      <c r="U29" s="1062"/>
      <c r="V29" s="12">
        <f t="shared" si="5"/>
        <v>11498</v>
      </c>
      <c r="W29" s="12">
        <f t="shared" si="6"/>
        <v>20398.371839999996</v>
      </c>
      <c r="X29" s="13"/>
      <c r="Y29" s="9"/>
    </row>
    <row r="30" spans="1:25" s="7" customFormat="1" ht="18.75" customHeight="1" x14ac:dyDescent="0.2">
      <c r="A30" s="8">
        <v>21</v>
      </c>
      <c r="B30" s="98" t="s">
        <v>371</v>
      </c>
      <c r="C30" s="92" t="s">
        <v>372</v>
      </c>
      <c r="D30" s="93" t="s">
        <v>370</v>
      </c>
      <c r="E30" s="92">
        <v>51</v>
      </c>
      <c r="F30" s="99">
        <v>9.66</v>
      </c>
      <c r="G30" s="9">
        <v>3</v>
      </c>
      <c r="H30" s="9">
        <v>2</v>
      </c>
      <c r="I30" s="9"/>
      <c r="J30" s="9">
        <v>2</v>
      </c>
      <c r="K30" s="9">
        <v>2</v>
      </c>
      <c r="L30" s="10">
        <f t="shared" si="1"/>
        <v>26.66</v>
      </c>
      <c r="M30" s="9" t="s">
        <v>203</v>
      </c>
      <c r="N30" s="92">
        <v>0.1</v>
      </c>
      <c r="O30" s="10">
        <f>VLOOKUP(M30,PID!A10:B252,2,0)</f>
        <v>1.68</v>
      </c>
      <c r="P30" s="11">
        <f t="shared" si="0"/>
        <v>44.788800000000002</v>
      </c>
      <c r="Q30" s="10">
        <f t="shared" si="2"/>
        <v>4.4788800000000002</v>
      </c>
      <c r="R30" s="1062">
        <f t="shared" si="3"/>
        <v>4599.2</v>
      </c>
      <c r="S30" s="1062"/>
      <c r="T30" s="1062">
        <f t="shared" si="4"/>
        <v>6898.8</v>
      </c>
      <c r="U30" s="1062"/>
      <c r="V30" s="12">
        <f t="shared" si="5"/>
        <v>11498</v>
      </c>
      <c r="W30" s="12">
        <f t="shared" si="6"/>
        <v>51498.162240000005</v>
      </c>
      <c r="X30" s="13"/>
      <c r="Y30" s="9"/>
    </row>
    <row r="31" spans="1:25" s="7" customFormat="1" ht="18.75" customHeight="1" x14ac:dyDescent="0.2">
      <c r="A31" s="8">
        <v>22</v>
      </c>
      <c r="B31" s="91" t="s">
        <v>375</v>
      </c>
      <c r="C31" s="92" t="s">
        <v>376</v>
      </c>
      <c r="D31" s="93" t="s">
        <v>374</v>
      </c>
      <c r="E31" s="92">
        <v>51</v>
      </c>
      <c r="F31" s="9">
        <v>30</v>
      </c>
      <c r="G31" s="9">
        <v>4</v>
      </c>
      <c r="H31" s="9">
        <v>4</v>
      </c>
      <c r="I31" s="9">
        <v>1</v>
      </c>
      <c r="J31" s="9">
        <v>2</v>
      </c>
      <c r="K31" s="9"/>
      <c r="L31" s="10">
        <f t="shared" si="1"/>
        <v>50.5</v>
      </c>
      <c r="M31" s="9" t="s">
        <v>169</v>
      </c>
      <c r="N31" s="92">
        <v>7.4999999999999997E-2</v>
      </c>
      <c r="O31" s="10">
        <f>VLOOKUP(M31,PID!A11:B253,2,0)</f>
        <v>2.1</v>
      </c>
      <c r="P31" s="11">
        <f t="shared" si="0"/>
        <v>106.05000000000001</v>
      </c>
      <c r="Q31" s="10">
        <f t="shared" si="2"/>
        <v>7.9537500000000003</v>
      </c>
      <c r="R31" s="1062">
        <f t="shared" si="3"/>
        <v>4599.2</v>
      </c>
      <c r="S31" s="1062"/>
      <c r="T31" s="1062">
        <f t="shared" si="4"/>
        <v>6898.8</v>
      </c>
      <c r="U31" s="1062"/>
      <c r="V31" s="12">
        <f t="shared" si="5"/>
        <v>11498</v>
      </c>
      <c r="W31" s="12">
        <f t="shared" si="6"/>
        <v>91452.217499999999</v>
      </c>
      <c r="X31" s="13"/>
      <c r="Y31" s="9"/>
    </row>
    <row r="32" spans="1:25" s="7" customFormat="1" ht="18.75" customHeight="1" x14ac:dyDescent="0.2">
      <c r="A32" s="8">
        <v>23</v>
      </c>
      <c r="B32" s="91" t="s">
        <v>377</v>
      </c>
      <c r="C32" s="92" t="s">
        <v>376</v>
      </c>
      <c r="D32" s="93" t="s">
        <v>374</v>
      </c>
      <c r="E32" s="92">
        <v>51</v>
      </c>
      <c r="F32" s="9">
        <v>2.2000000000000002</v>
      </c>
      <c r="G32" s="9"/>
      <c r="H32" s="9"/>
      <c r="I32" s="9"/>
      <c r="J32" s="9"/>
      <c r="K32" s="9"/>
      <c r="L32" s="10">
        <f t="shared" si="1"/>
        <v>2.2000000000000002</v>
      </c>
      <c r="M32" s="9" t="s">
        <v>196</v>
      </c>
      <c r="N32" s="92">
        <v>7.4999999999999997E-2</v>
      </c>
      <c r="O32" s="10">
        <f>VLOOKUP(M32,PID!A12:B254,2,0)</f>
        <v>1.62</v>
      </c>
      <c r="P32" s="11">
        <f t="shared" si="0"/>
        <v>3.5640000000000005</v>
      </c>
      <c r="Q32" s="10">
        <f t="shared" si="2"/>
        <v>0.26730000000000004</v>
      </c>
      <c r="R32" s="1062">
        <f t="shared" si="3"/>
        <v>4599.2</v>
      </c>
      <c r="S32" s="1062"/>
      <c r="T32" s="1062">
        <f t="shared" si="4"/>
        <v>6898.8</v>
      </c>
      <c r="U32" s="1062"/>
      <c r="V32" s="12">
        <f t="shared" si="5"/>
        <v>11498</v>
      </c>
      <c r="W32" s="12">
        <f t="shared" si="6"/>
        <v>3073.4154000000003</v>
      </c>
      <c r="X32" s="13"/>
      <c r="Y32" s="9"/>
    </row>
    <row r="33" spans="1:25" s="7" customFormat="1" ht="18.75" customHeight="1" x14ac:dyDescent="0.2">
      <c r="A33" s="8">
        <v>24</v>
      </c>
      <c r="B33" s="91" t="s">
        <v>361</v>
      </c>
      <c r="C33" s="92" t="s">
        <v>360</v>
      </c>
      <c r="D33" s="93" t="s">
        <v>374</v>
      </c>
      <c r="E33" s="92">
        <v>51</v>
      </c>
      <c r="F33" s="9">
        <v>0.6</v>
      </c>
      <c r="G33" s="9"/>
      <c r="H33" s="9"/>
      <c r="I33" s="9"/>
      <c r="J33" s="9"/>
      <c r="K33" s="9"/>
      <c r="L33" s="10">
        <f t="shared" si="1"/>
        <v>0.6</v>
      </c>
      <c r="M33" s="9" t="s">
        <v>187</v>
      </c>
      <c r="N33" s="92">
        <v>7.4999999999999997E-2</v>
      </c>
      <c r="O33" s="10">
        <f>VLOOKUP(M33,PID!A13:B255,2,0)</f>
        <v>1.78</v>
      </c>
      <c r="P33" s="11">
        <f t="shared" si="0"/>
        <v>1.0680000000000001</v>
      </c>
      <c r="Q33" s="10">
        <f t="shared" si="2"/>
        <v>8.0100000000000005E-2</v>
      </c>
      <c r="R33" s="1062">
        <f t="shared" si="3"/>
        <v>4599.2</v>
      </c>
      <c r="S33" s="1062"/>
      <c r="T33" s="1062">
        <f t="shared" si="4"/>
        <v>6898.8</v>
      </c>
      <c r="U33" s="1062"/>
      <c r="V33" s="12">
        <f t="shared" si="5"/>
        <v>11498</v>
      </c>
      <c r="W33" s="12">
        <f t="shared" si="6"/>
        <v>920.98980000000006</v>
      </c>
      <c r="X33" s="13"/>
      <c r="Y33" s="9"/>
    </row>
    <row r="34" spans="1:25" s="7" customFormat="1" ht="18.75" customHeight="1" x14ac:dyDescent="0.2">
      <c r="A34" s="8">
        <v>25</v>
      </c>
      <c r="B34" s="91" t="s">
        <v>343</v>
      </c>
      <c r="C34" s="92" t="s">
        <v>378</v>
      </c>
      <c r="D34" s="93" t="s">
        <v>374</v>
      </c>
      <c r="E34" s="92">
        <v>51</v>
      </c>
      <c r="F34" s="9">
        <v>0.5</v>
      </c>
      <c r="G34" s="9">
        <v>2</v>
      </c>
      <c r="H34" s="9">
        <v>2</v>
      </c>
      <c r="I34" s="9"/>
      <c r="J34" s="9"/>
      <c r="K34" s="9"/>
      <c r="L34" s="10">
        <f t="shared" si="1"/>
        <v>7.5</v>
      </c>
      <c r="M34" s="9" t="s">
        <v>221</v>
      </c>
      <c r="N34" s="92">
        <v>0.1</v>
      </c>
      <c r="O34" s="10">
        <f>VLOOKUP(M34,PID!A14:B256,2,0)</f>
        <v>1.35</v>
      </c>
      <c r="P34" s="11">
        <f t="shared" si="0"/>
        <v>10.125</v>
      </c>
      <c r="Q34" s="10">
        <f t="shared" si="2"/>
        <v>1.0125</v>
      </c>
      <c r="R34" s="1062">
        <f t="shared" si="3"/>
        <v>4599.2</v>
      </c>
      <c r="S34" s="1062"/>
      <c r="T34" s="1062">
        <f t="shared" si="4"/>
        <v>6898.8</v>
      </c>
      <c r="U34" s="1062"/>
      <c r="V34" s="12">
        <f t="shared" si="5"/>
        <v>11498</v>
      </c>
      <c r="W34" s="12">
        <f t="shared" si="6"/>
        <v>11641.725</v>
      </c>
      <c r="X34" s="13"/>
      <c r="Y34" s="9"/>
    </row>
    <row r="35" spans="1:25" s="7" customFormat="1" ht="18.75" customHeight="1" x14ac:dyDescent="0.2">
      <c r="A35" s="8">
        <v>26</v>
      </c>
      <c r="B35" s="91" t="s">
        <v>375</v>
      </c>
      <c r="C35" s="92" t="s">
        <v>376</v>
      </c>
      <c r="D35" s="93" t="s">
        <v>379</v>
      </c>
      <c r="E35" s="92">
        <v>51</v>
      </c>
      <c r="F35" s="9">
        <v>3.5</v>
      </c>
      <c r="G35" s="97">
        <v>3</v>
      </c>
      <c r="H35" s="9"/>
      <c r="I35" s="9">
        <v>2</v>
      </c>
      <c r="J35" s="9"/>
      <c r="K35" s="9">
        <v>1</v>
      </c>
      <c r="L35" s="10">
        <f t="shared" si="1"/>
        <v>14</v>
      </c>
      <c r="M35" s="9" t="s">
        <v>169</v>
      </c>
      <c r="N35" s="92">
        <v>7.4999999999999997E-2</v>
      </c>
      <c r="O35" s="10">
        <f>VLOOKUP(M35,PID!A15:B257,2,0)</f>
        <v>2.1</v>
      </c>
      <c r="P35" s="11">
        <f t="shared" si="0"/>
        <v>29.400000000000002</v>
      </c>
      <c r="Q35" s="10">
        <f t="shared" si="2"/>
        <v>2.2050000000000001</v>
      </c>
      <c r="R35" s="1062">
        <f t="shared" si="3"/>
        <v>4599.2</v>
      </c>
      <c r="S35" s="1062"/>
      <c r="T35" s="1062">
        <f t="shared" si="4"/>
        <v>6898.8</v>
      </c>
      <c r="U35" s="1062"/>
      <c r="V35" s="12">
        <f t="shared" si="5"/>
        <v>11498</v>
      </c>
      <c r="W35" s="12">
        <f t="shared" si="6"/>
        <v>25353.09</v>
      </c>
      <c r="X35" s="13"/>
      <c r="Y35" s="9"/>
    </row>
    <row r="36" spans="1:25" s="7" customFormat="1" ht="18.75" customHeight="1" x14ac:dyDescent="0.2">
      <c r="A36" s="8">
        <v>27</v>
      </c>
      <c r="B36" s="91" t="s">
        <v>380</v>
      </c>
      <c r="C36" s="92" t="s">
        <v>381</v>
      </c>
      <c r="D36" s="93" t="s">
        <v>379</v>
      </c>
      <c r="E36" s="92">
        <v>51</v>
      </c>
      <c r="F36" s="9">
        <v>12</v>
      </c>
      <c r="G36" s="9">
        <v>2</v>
      </c>
      <c r="H36" s="9">
        <v>2</v>
      </c>
      <c r="I36" s="9"/>
      <c r="J36" s="9">
        <v>1</v>
      </c>
      <c r="K36" s="9"/>
      <c r="L36" s="10">
        <f t="shared" si="1"/>
        <v>21.5</v>
      </c>
      <c r="M36" s="9" t="s">
        <v>178</v>
      </c>
      <c r="N36" s="92">
        <v>7.4999999999999997E-2</v>
      </c>
      <c r="O36" s="10">
        <f>VLOOKUP(M36,PID!A16:B258,2,0)</f>
        <v>1.94</v>
      </c>
      <c r="P36" s="11">
        <f t="shared" si="0"/>
        <v>41.71</v>
      </c>
      <c r="Q36" s="10">
        <f t="shared" si="2"/>
        <v>3.12825</v>
      </c>
      <c r="R36" s="1062">
        <f t="shared" si="3"/>
        <v>4599.2</v>
      </c>
      <c r="S36" s="1062"/>
      <c r="T36" s="1062">
        <f t="shared" si="4"/>
        <v>6898.8</v>
      </c>
      <c r="U36" s="1062"/>
      <c r="V36" s="12">
        <f t="shared" si="5"/>
        <v>11498</v>
      </c>
      <c r="W36" s="12">
        <f t="shared" si="6"/>
        <v>35968.618499999997</v>
      </c>
      <c r="X36" s="13"/>
      <c r="Y36" s="9"/>
    </row>
    <row r="37" spans="1:25" s="7" customFormat="1" ht="18.75" customHeight="1" x14ac:dyDescent="0.2">
      <c r="A37" s="8">
        <v>28</v>
      </c>
      <c r="B37" s="91" t="s">
        <v>328</v>
      </c>
      <c r="C37" s="92" t="s">
        <v>382</v>
      </c>
      <c r="D37" s="93" t="s">
        <v>379</v>
      </c>
      <c r="E37" s="92">
        <v>51</v>
      </c>
      <c r="F37" s="9">
        <v>2.5</v>
      </c>
      <c r="G37" s="9"/>
      <c r="H37" s="9">
        <v>1</v>
      </c>
      <c r="I37" s="9"/>
      <c r="J37" s="9"/>
      <c r="K37" s="9"/>
      <c r="L37" s="10">
        <f t="shared" si="1"/>
        <v>4</v>
      </c>
      <c r="M37" s="9" t="s">
        <v>232</v>
      </c>
      <c r="N37" s="92">
        <v>7.4999999999999997E-2</v>
      </c>
      <c r="O37" s="10">
        <f>VLOOKUP(M37,PID!A17:B259,2,0)</f>
        <v>0.95</v>
      </c>
      <c r="P37" s="11">
        <f t="shared" si="0"/>
        <v>3.8</v>
      </c>
      <c r="Q37" s="10">
        <f t="shared" si="2"/>
        <v>0.28499999999999998</v>
      </c>
      <c r="R37" s="1062">
        <f t="shared" si="3"/>
        <v>4599.2</v>
      </c>
      <c r="S37" s="1062"/>
      <c r="T37" s="1062">
        <f t="shared" si="4"/>
        <v>6898.8</v>
      </c>
      <c r="U37" s="1062"/>
      <c r="V37" s="12">
        <f t="shared" si="5"/>
        <v>11498</v>
      </c>
      <c r="W37" s="12">
        <f t="shared" si="6"/>
        <v>3276.93</v>
      </c>
      <c r="X37" s="13"/>
      <c r="Y37" s="9"/>
    </row>
    <row r="38" spans="1:25" s="7" customFormat="1" ht="18.75" customHeight="1" x14ac:dyDescent="0.2">
      <c r="A38" s="8">
        <v>29</v>
      </c>
      <c r="B38" s="91" t="s">
        <v>384</v>
      </c>
      <c r="C38" s="92" t="s">
        <v>385</v>
      </c>
      <c r="D38" s="93" t="s">
        <v>383</v>
      </c>
      <c r="E38" s="92">
        <v>51</v>
      </c>
      <c r="F38" s="9">
        <v>30.8</v>
      </c>
      <c r="G38" s="9">
        <v>8</v>
      </c>
      <c r="H38" s="9"/>
      <c r="I38" s="9"/>
      <c r="J38" s="9"/>
      <c r="K38" s="9"/>
      <c r="L38" s="10">
        <f t="shared" si="1"/>
        <v>46.8</v>
      </c>
      <c r="M38" s="9" t="s">
        <v>214</v>
      </c>
      <c r="N38" s="92">
        <v>7.4999999999999997E-2</v>
      </c>
      <c r="O38" s="10">
        <f>VLOOKUP(M38,PID!A18:B260,2,0)</f>
        <v>1.36</v>
      </c>
      <c r="P38" s="11">
        <f t="shared" si="0"/>
        <v>63.648000000000003</v>
      </c>
      <c r="Q38" s="10">
        <f t="shared" si="2"/>
        <v>4.7736000000000001</v>
      </c>
      <c r="R38" s="1062">
        <f t="shared" si="3"/>
        <v>4599.2</v>
      </c>
      <c r="S38" s="1062"/>
      <c r="T38" s="1062">
        <f t="shared" si="4"/>
        <v>6898.8</v>
      </c>
      <c r="U38" s="1062"/>
      <c r="V38" s="12">
        <f t="shared" si="5"/>
        <v>11498</v>
      </c>
      <c r="W38" s="12">
        <f t="shared" si="6"/>
        <v>54886.852800000001</v>
      </c>
      <c r="X38" s="13"/>
      <c r="Y38" s="9"/>
    </row>
    <row r="39" spans="1:25" s="7" customFormat="1" ht="18.75" customHeight="1" x14ac:dyDescent="0.2">
      <c r="A39" s="8">
        <v>30</v>
      </c>
      <c r="B39" s="91" t="s">
        <v>386</v>
      </c>
      <c r="C39" s="92" t="s">
        <v>389</v>
      </c>
      <c r="D39" s="93" t="s">
        <v>390</v>
      </c>
      <c r="E39" s="92">
        <v>51</v>
      </c>
      <c r="F39" s="96">
        <v>1.575</v>
      </c>
      <c r="G39" s="9">
        <v>1</v>
      </c>
      <c r="H39" s="9"/>
      <c r="I39" s="9"/>
      <c r="J39" s="9">
        <v>1</v>
      </c>
      <c r="K39" s="9"/>
      <c r="L39" s="10">
        <f t="shared" si="1"/>
        <v>6.0750000000000002</v>
      </c>
      <c r="M39" s="9" t="s">
        <v>250</v>
      </c>
      <c r="N39" s="92">
        <v>7.4999999999999997E-2</v>
      </c>
      <c r="O39" s="10">
        <f>VLOOKUP(M39,PID!A19:B261,2,0)</f>
        <v>0.78</v>
      </c>
      <c r="P39" s="11">
        <f t="shared" si="0"/>
        <v>4.7385000000000002</v>
      </c>
      <c r="Q39" s="10">
        <f t="shared" si="2"/>
        <v>0.35538750000000002</v>
      </c>
      <c r="R39" s="1062">
        <f t="shared" si="3"/>
        <v>4599.2</v>
      </c>
      <c r="S39" s="1062"/>
      <c r="T39" s="1062">
        <f t="shared" si="4"/>
        <v>6898.8</v>
      </c>
      <c r="U39" s="1062"/>
      <c r="V39" s="12">
        <f t="shared" si="5"/>
        <v>11498</v>
      </c>
      <c r="W39" s="12">
        <f t="shared" si="6"/>
        <v>4086.2454750000002</v>
      </c>
      <c r="X39" s="13"/>
      <c r="Y39" s="9"/>
    </row>
    <row r="40" spans="1:25" s="7" customFormat="1" ht="18.75" customHeight="1" x14ac:dyDescent="0.2">
      <c r="A40" s="8">
        <v>31</v>
      </c>
      <c r="B40" s="91" t="s">
        <v>387</v>
      </c>
      <c r="C40" s="92" t="s">
        <v>388</v>
      </c>
      <c r="D40" s="93" t="s">
        <v>390</v>
      </c>
      <c r="E40" s="92">
        <v>51</v>
      </c>
      <c r="F40" s="96">
        <v>1.4350000000000001</v>
      </c>
      <c r="G40" s="9"/>
      <c r="H40" s="9">
        <v>4</v>
      </c>
      <c r="I40" s="9">
        <v>1</v>
      </c>
      <c r="J40" s="9">
        <v>1</v>
      </c>
      <c r="K40" s="9">
        <v>1</v>
      </c>
      <c r="L40" s="10">
        <f t="shared" si="1"/>
        <v>12.935</v>
      </c>
      <c r="M40" s="9" t="s">
        <v>250</v>
      </c>
      <c r="N40" s="92">
        <v>7.4999999999999997E-2</v>
      </c>
      <c r="O40" s="10">
        <f>VLOOKUP(M40,PID!A20:B262,2,0)</f>
        <v>0.78</v>
      </c>
      <c r="P40" s="11">
        <f t="shared" si="0"/>
        <v>10.089300000000001</v>
      </c>
      <c r="Q40" s="10">
        <f t="shared" si="2"/>
        <v>0.75669750000000013</v>
      </c>
      <c r="R40" s="1062">
        <f t="shared" si="3"/>
        <v>4599.2</v>
      </c>
      <c r="S40" s="1062"/>
      <c r="T40" s="1062">
        <f t="shared" si="4"/>
        <v>6898.8</v>
      </c>
      <c r="U40" s="1062"/>
      <c r="V40" s="12">
        <f t="shared" si="5"/>
        <v>11498</v>
      </c>
      <c r="W40" s="12">
        <f t="shared" si="6"/>
        <v>8700.5078550000017</v>
      </c>
      <c r="X40" s="13"/>
      <c r="Y40" s="9"/>
    </row>
    <row r="41" spans="1:25" s="7" customFormat="1" ht="18.75" customHeight="1" x14ac:dyDescent="0.2">
      <c r="A41" s="8">
        <v>32</v>
      </c>
      <c r="B41" s="91" t="s">
        <v>391</v>
      </c>
      <c r="C41" s="92" t="s">
        <v>393</v>
      </c>
      <c r="D41" s="93" t="s">
        <v>392</v>
      </c>
      <c r="E41" s="92">
        <v>51</v>
      </c>
      <c r="F41" s="9">
        <v>6.8</v>
      </c>
      <c r="G41" s="9">
        <v>2</v>
      </c>
      <c r="H41" s="9">
        <v>1</v>
      </c>
      <c r="I41" s="9"/>
      <c r="J41" s="9">
        <v>1</v>
      </c>
      <c r="K41" s="9"/>
      <c r="L41" s="10">
        <f t="shared" si="1"/>
        <v>14.8</v>
      </c>
      <c r="M41" s="9" t="s">
        <v>187</v>
      </c>
      <c r="N41" s="92">
        <v>7.4999999999999997E-2</v>
      </c>
      <c r="O41" s="10">
        <f>VLOOKUP(M41,PID!A21:B263,2,0)</f>
        <v>1.78</v>
      </c>
      <c r="P41" s="11">
        <f t="shared" si="0"/>
        <v>26.344000000000001</v>
      </c>
      <c r="Q41" s="10">
        <f t="shared" si="2"/>
        <v>1.9758</v>
      </c>
      <c r="R41" s="1062">
        <f t="shared" si="3"/>
        <v>4599.2</v>
      </c>
      <c r="S41" s="1062"/>
      <c r="T41" s="1062">
        <f t="shared" si="4"/>
        <v>6898.8</v>
      </c>
      <c r="U41" s="1062"/>
      <c r="V41" s="12">
        <f t="shared" si="5"/>
        <v>11498</v>
      </c>
      <c r="W41" s="12">
        <f t="shared" si="6"/>
        <v>22717.7484</v>
      </c>
      <c r="X41" s="13"/>
      <c r="Y41" s="9"/>
    </row>
    <row r="42" spans="1:25" s="7" customFormat="1" ht="18.75" customHeight="1" x14ac:dyDescent="0.2">
      <c r="A42" s="8">
        <v>33</v>
      </c>
      <c r="B42" s="91" t="s">
        <v>399</v>
      </c>
      <c r="C42" s="92" t="s">
        <v>401</v>
      </c>
      <c r="D42" s="93" t="s">
        <v>400</v>
      </c>
      <c r="E42" s="92">
        <v>51</v>
      </c>
      <c r="F42" s="9">
        <v>16.5</v>
      </c>
      <c r="G42" s="9">
        <v>4</v>
      </c>
      <c r="H42" s="9"/>
      <c r="I42" s="9"/>
      <c r="J42" s="9"/>
      <c r="K42" s="9"/>
      <c r="L42" s="10">
        <f t="shared" si="1"/>
        <v>24.5</v>
      </c>
      <c r="M42" s="9" t="s">
        <v>212</v>
      </c>
      <c r="N42" s="92">
        <v>0.1</v>
      </c>
      <c r="O42" s="10">
        <f>VLOOKUP(M42,PID!A22:B264,2,0)</f>
        <v>1.52</v>
      </c>
      <c r="P42" s="11">
        <f t="shared" si="0"/>
        <v>37.24</v>
      </c>
      <c r="Q42" s="10">
        <f t="shared" si="2"/>
        <v>3.7240000000000002</v>
      </c>
      <c r="R42" s="1062">
        <f t="shared" si="3"/>
        <v>4599.2</v>
      </c>
      <c r="S42" s="1062"/>
      <c r="T42" s="1062">
        <f t="shared" si="4"/>
        <v>6898.8</v>
      </c>
      <c r="U42" s="1062"/>
      <c r="V42" s="12">
        <f t="shared" si="5"/>
        <v>11498</v>
      </c>
      <c r="W42" s="12">
        <f t="shared" si="6"/>
        <v>42818.552000000003</v>
      </c>
      <c r="X42" s="13"/>
      <c r="Y42" s="9"/>
    </row>
    <row r="43" spans="1:25" s="7" customFormat="1" ht="18.75" customHeight="1" x14ac:dyDescent="0.2">
      <c r="A43" s="8">
        <v>34</v>
      </c>
      <c r="B43" s="91" t="s">
        <v>402</v>
      </c>
      <c r="C43" s="92" t="s">
        <v>401</v>
      </c>
      <c r="D43" s="93" t="s">
        <v>403</v>
      </c>
      <c r="E43" s="92">
        <v>51</v>
      </c>
      <c r="F43" s="9">
        <v>15</v>
      </c>
      <c r="G43" s="9">
        <v>4</v>
      </c>
      <c r="H43" s="9"/>
      <c r="I43" s="9"/>
      <c r="J43" s="9"/>
      <c r="K43" s="9"/>
      <c r="L43" s="10">
        <f t="shared" si="1"/>
        <v>23</v>
      </c>
      <c r="M43" s="9" t="s">
        <v>212</v>
      </c>
      <c r="N43" s="92">
        <v>0.1</v>
      </c>
      <c r="O43" s="10">
        <f>VLOOKUP(M43,PID!A22:B264,2,0)</f>
        <v>1.52</v>
      </c>
      <c r="P43" s="11">
        <f>L43*O43</f>
        <v>34.96</v>
      </c>
      <c r="Q43" s="10">
        <f t="shared" si="2"/>
        <v>3.4960000000000004</v>
      </c>
      <c r="R43" s="1062">
        <f t="shared" si="3"/>
        <v>4599.2</v>
      </c>
      <c r="S43" s="1062"/>
      <c r="T43" s="1062">
        <f t="shared" si="4"/>
        <v>6898.8</v>
      </c>
      <c r="U43" s="1062"/>
      <c r="V43" s="12">
        <f>T43+R43</f>
        <v>11498</v>
      </c>
      <c r="W43" s="12">
        <f t="shared" si="6"/>
        <v>40197.008000000002</v>
      </c>
      <c r="X43" s="13"/>
      <c r="Y43" s="9"/>
    </row>
    <row r="44" spans="1:25" s="7" customFormat="1" ht="18.75" customHeight="1" x14ac:dyDescent="0.2">
      <c r="A44" s="8">
        <v>35</v>
      </c>
      <c r="B44" s="91" t="s">
        <v>404</v>
      </c>
      <c r="C44" s="92" t="s">
        <v>406</v>
      </c>
      <c r="D44" s="93" t="s">
        <v>405</v>
      </c>
      <c r="E44" s="92">
        <v>51</v>
      </c>
      <c r="F44" s="9">
        <v>34.200000000000003</v>
      </c>
      <c r="G44" s="9">
        <v>15</v>
      </c>
      <c r="H44" s="9"/>
      <c r="I44" s="9">
        <v>1</v>
      </c>
      <c r="J44" s="9">
        <v>1</v>
      </c>
      <c r="K44" s="9">
        <v>1</v>
      </c>
      <c r="L44" s="10">
        <f t="shared" si="1"/>
        <v>69.7</v>
      </c>
      <c r="M44" s="9" t="s">
        <v>230</v>
      </c>
      <c r="N44" s="92">
        <v>0.1</v>
      </c>
      <c r="O44" s="10">
        <f>VLOOKUP(M44,PID!A23:B265,2,0)</f>
        <v>1.1100000000000001</v>
      </c>
      <c r="P44" s="11">
        <f>L44*O44</f>
        <v>77.367000000000004</v>
      </c>
      <c r="Q44" s="10">
        <f t="shared" si="2"/>
        <v>7.7367000000000008</v>
      </c>
      <c r="R44" s="1062">
        <f t="shared" si="3"/>
        <v>4599.2</v>
      </c>
      <c r="S44" s="1062"/>
      <c r="T44" s="1062">
        <f t="shared" si="4"/>
        <v>6898.8</v>
      </c>
      <c r="U44" s="1062"/>
      <c r="V44" s="12">
        <f t="shared" si="5"/>
        <v>11498</v>
      </c>
      <c r="W44" s="12">
        <f t="shared" si="6"/>
        <v>88956.576600000015</v>
      </c>
      <c r="X44" s="13"/>
      <c r="Y44" s="9"/>
    </row>
    <row r="45" spans="1:25" s="7" customFormat="1" ht="18.75" customHeight="1" x14ac:dyDescent="0.2">
      <c r="A45" s="8">
        <v>36</v>
      </c>
      <c r="B45" s="91" t="s">
        <v>407</v>
      </c>
      <c r="C45" s="92" t="s">
        <v>408</v>
      </c>
      <c r="D45" s="93" t="s">
        <v>409</v>
      </c>
      <c r="E45" s="92">
        <v>51</v>
      </c>
      <c r="F45" s="9">
        <v>11</v>
      </c>
      <c r="G45" s="9">
        <v>5</v>
      </c>
      <c r="H45" s="9">
        <v>1</v>
      </c>
      <c r="I45" s="9"/>
      <c r="J45" s="9"/>
      <c r="K45" s="9"/>
      <c r="L45" s="10">
        <f t="shared" si="1"/>
        <v>22.5</v>
      </c>
      <c r="M45" s="9" t="s">
        <v>203</v>
      </c>
      <c r="N45" s="92">
        <v>0.1</v>
      </c>
      <c r="O45" s="10">
        <f>VLOOKUP(M45,PID!A23:B265,2,0)</f>
        <v>1.68</v>
      </c>
      <c r="P45" s="11">
        <f>L45*O45</f>
        <v>37.799999999999997</v>
      </c>
      <c r="Q45" s="10">
        <f t="shared" si="2"/>
        <v>3.78</v>
      </c>
      <c r="R45" s="1062">
        <f t="shared" si="3"/>
        <v>4599.2</v>
      </c>
      <c r="S45" s="1062"/>
      <c r="T45" s="1062">
        <f t="shared" si="4"/>
        <v>6898.8</v>
      </c>
      <c r="U45" s="1062"/>
      <c r="V45" s="12">
        <f t="shared" si="5"/>
        <v>11498</v>
      </c>
      <c r="W45" s="12">
        <f t="shared" si="6"/>
        <v>43462.439999999995</v>
      </c>
      <c r="X45" s="13"/>
      <c r="Y45" s="9"/>
    </row>
    <row r="46" spans="1:25" s="7" customFormat="1" ht="18.75" hidden="1" customHeight="1" x14ac:dyDescent="0.2">
      <c r="A46" s="8">
        <v>37</v>
      </c>
      <c r="B46" s="91" t="s">
        <v>410</v>
      </c>
      <c r="C46" s="92"/>
      <c r="D46" s="93" t="s">
        <v>411</v>
      </c>
      <c r="E46" s="92">
        <v>51</v>
      </c>
      <c r="F46" s="9"/>
      <c r="G46" s="9"/>
      <c r="H46" s="9"/>
      <c r="I46" s="9"/>
      <c r="J46" s="9"/>
      <c r="K46" s="9"/>
      <c r="L46" s="10">
        <f t="shared" si="1"/>
        <v>0</v>
      </c>
      <c r="M46" s="9" t="s">
        <v>176</v>
      </c>
      <c r="N46" s="92">
        <v>0.1</v>
      </c>
      <c r="O46" s="10">
        <f>VLOOKUP(M46,PID!A24:B266,2,0)</f>
        <v>2.1</v>
      </c>
      <c r="P46" s="11">
        <f t="shared" ref="P46:P72" si="7">L46*O46</f>
        <v>0</v>
      </c>
      <c r="Q46" s="10">
        <f t="shared" si="2"/>
        <v>0</v>
      </c>
      <c r="R46" s="1062">
        <f t="shared" si="3"/>
        <v>4599.2</v>
      </c>
      <c r="S46" s="1062"/>
      <c r="T46" s="1062">
        <f t="shared" si="4"/>
        <v>6898.8</v>
      </c>
      <c r="U46" s="1062"/>
      <c r="V46" s="12">
        <f t="shared" si="5"/>
        <v>11498</v>
      </c>
      <c r="W46" s="12">
        <f t="shared" si="6"/>
        <v>0</v>
      </c>
      <c r="X46" s="13"/>
      <c r="Y46" s="9"/>
    </row>
    <row r="47" spans="1:25" s="7" customFormat="1" ht="18.75" hidden="1" customHeight="1" x14ac:dyDescent="0.2">
      <c r="A47" s="8">
        <v>38</v>
      </c>
      <c r="B47" s="91" t="s">
        <v>412</v>
      </c>
      <c r="C47" s="92"/>
      <c r="D47" s="93" t="s">
        <v>411</v>
      </c>
      <c r="E47" s="92">
        <v>51</v>
      </c>
      <c r="F47" s="9"/>
      <c r="G47" s="9"/>
      <c r="H47" s="9"/>
      <c r="I47" s="9"/>
      <c r="J47" s="9"/>
      <c r="K47" s="9"/>
      <c r="L47" s="10">
        <f t="shared" si="1"/>
        <v>0</v>
      </c>
      <c r="M47" s="9" t="s">
        <v>176</v>
      </c>
      <c r="N47" s="92">
        <v>0.1</v>
      </c>
      <c r="O47" s="10">
        <f>VLOOKUP(M47,PID!A25:B267,2,0)</f>
        <v>2.1</v>
      </c>
      <c r="P47" s="11">
        <f t="shared" si="7"/>
        <v>0</v>
      </c>
      <c r="Q47" s="10">
        <f t="shared" si="2"/>
        <v>0</v>
      </c>
      <c r="R47" s="1062">
        <f t="shared" si="3"/>
        <v>4599.2</v>
      </c>
      <c r="S47" s="1062"/>
      <c r="T47" s="1062">
        <f t="shared" si="4"/>
        <v>6898.8</v>
      </c>
      <c r="U47" s="1062"/>
      <c r="V47" s="12">
        <f t="shared" si="5"/>
        <v>11498</v>
      </c>
      <c r="W47" s="12">
        <f t="shared" si="6"/>
        <v>0</v>
      </c>
      <c r="X47" s="13"/>
      <c r="Y47" s="9"/>
    </row>
    <row r="48" spans="1:25" s="7" customFormat="1" ht="18.75" hidden="1" customHeight="1" x14ac:dyDescent="0.2">
      <c r="A48" s="8">
        <v>39</v>
      </c>
      <c r="B48" s="91" t="s">
        <v>413</v>
      </c>
      <c r="C48" s="92"/>
      <c r="D48" s="93" t="s">
        <v>411</v>
      </c>
      <c r="E48" s="92">
        <v>51</v>
      </c>
      <c r="F48" s="9"/>
      <c r="G48" s="9"/>
      <c r="H48" s="9"/>
      <c r="I48" s="9"/>
      <c r="J48" s="9"/>
      <c r="K48" s="9"/>
      <c r="L48" s="10">
        <f t="shared" si="1"/>
        <v>0</v>
      </c>
      <c r="M48" s="9" t="s">
        <v>176</v>
      </c>
      <c r="N48" s="92">
        <v>0.1</v>
      </c>
      <c r="O48" s="10">
        <f>VLOOKUP(M48,PID!A26:B268,2,0)</f>
        <v>2.1</v>
      </c>
      <c r="P48" s="11">
        <f t="shared" si="7"/>
        <v>0</v>
      </c>
      <c r="Q48" s="10">
        <f t="shared" si="2"/>
        <v>0</v>
      </c>
      <c r="R48" s="1062">
        <f t="shared" si="3"/>
        <v>4599.2</v>
      </c>
      <c r="S48" s="1062"/>
      <c r="T48" s="1062">
        <f t="shared" si="4"/>
        <v>6898.8</v>
      </c>
      <c r="U48" s="1062"/>
      <c r="V48" s="12">
        <f t="shared" si="5"/>
        <v>11498</v>
      </c>
      <c r="W48" s="12">
        <f t="shared" si="6"/>
        <v>0</v>
      </c>
      <c r="X48" s="13"/>
      <c r="Y48" s="9"/>
    </row>
    <row r="49" spans="1:25" s="7" customFormat="1" ht="18.75" hidden="1" customHeight="1" x14ac:dyDescent="0.2">
      <c r="A49" s="8">
        <v>40</v>
      </c>
      <c r="B49" s="91" t="s">
        <v>414</v>
      </c>
      <c r="C49" s="92"/>
      <c r="D49" s="93" t="s">
        <v>411</v>
      </c>
      <c r="E49" s="92">
        <v>51</v>
      </c>
      <c r="F49" s="9"/>
      <c r="G49" s="9"/>
      <c r="H49" s="9"/>
      <c r="I49" s="9"/>
      <c r="J49" s="9"/>
      <c r="K49" s="9"/>
      <c r="L49" s="10">
        <f t="shared" si="1"/>
        <v>0</v>
      </c>
      <c r="M49" s="9" t="s">
        <v>176</v>
      </c>
      <c r="N49" s="92">
        <v>0.1</v>
      </c>
      <c r="O49" s="10">
        <f>VLOOKUP(M49,PID!A27:B269,2,0)</f>
        <v>2.1</v>
      </c>
      <c r="P49" s="11">
        <f t="shared" si="7"/>
        <v>0</v>
      </c>
      <c r="Q49" s="10">
        <f t="shared" si="2"/>
        <v>0</v>
      </c>
      <c r="R49" s="1062">
        <f t="shared" si="3"/>
        <v>4599.2</v>
      </c>
      <c r="S49" s="1062"/>
      <c r="T49" s="1062">
        <f t="shared" si="4"/>
        <v>6898.8</v>
      </c>
      <c r="U49" s="1062"/>
      <c r="V49" s="12">
        <f t="shared" si="5"/>
        <v>11498</v>
      </c>
      <c r="W49" s="12">
        <f t="shared" si="6"/>
        <v>0</v>
      </c>
      <c r="X49" s="13"/>
      <c r="Y49" s="9"/>
    </row>
    <row r="50" spans="1:25" s="7" customFormat="1" ht="18.75" hidden="1" customHeight="1" x14ac:dyDescent="0.2">
      <c r="A50" s="8">
        <v>41</v>
      </c>
      <c r="B50" s="91" t="s">
        <v>415</v>
      </c>
      <c r="C50" s="92"/>
      <c r="D50" s="93" t="s">
        <v>411</v>
      </c>
      <c r="E50" s="92">
        <v>51</v>
      </c>
      <c r="F50" s="9"/>
      <c r="G50" s="9"/>
      <c r="H50" s="9"/>
      <c r="I50" s="9"/>
      <c r="J50" s="9"/>
      <c r="K50" s="9"/>
      <c r="L50" s="10">
        <f t="shared" si="1"/>
        <v>0</v>
      </c>
      <c r="M50" s="9" t="s">
        <v>212</v>
      </c>
      <c r="N50" s="92">
        <v>0.1</v>
      </c>
      <c r="O50" s="10">
        <f>VLOOKUP(M50,PID!A28:B270,2,0)</f>
        <v>1.52</v>
      </c>
      <c r="P50" s="11">
        <f t="shared" si="7"/>
        <v>0</v>
      </c>
      <c r="Q50" s="10">
        <f t="shared" si="2"/>
        <v>0</v>
      </c>
      <c r="R50" s="1062">
        <f t="shared" si="3"/>
        <v>4599.2</v>
      </c>
      <c r="S50" s="1062"/>
      <c r="T50" s="1062">
        <f t="shared" si="4"/>
        <v>6898.8</v>
      </c>
      <c r="U50" s="1062"/>
      <c r="V50" s="12">
        <f t="shared" si="5"/>
        <v>11498</v>
      </c>
      <c r="W50" s="12">
        <f t="shared" si="6"/>
        <v>0</v>
      </c>
      <c r="X50" s="13"/>
      <c r="Y50" s="9"/>
    </row>
    <row r="51" spans="1:25" s="7" customFormat="1" ht="18.75" hidden="1" customHeight="1" x14ac:dyDescent="0.2">
      <c r="A51" s="8">
        <v>42</v>
      </c>
      <c r="B51" s="91" t="s">
        <v>416</v>
      </c>
      <c r="C51" s="92"/>
      <c r="D51" s="93" t="s">
        <v>411</v>
      </c>
      <c r="E51" s="92">
        <v>51</v>
      </c>
      <c r="F51" s="9"/>
      <c r="G51" s="9"/>
      <c r="H51" s="9"/>
      <c r="I51" s="9"/>
      <c r="J51" s="9"/>
      <c r="K51" s="9"/>
      <c r="L51" s="10">
        <f t="shared" si="1"/>
        <v>0</v>
      </c>
      <c r="M51" s="9" t="s">
        <v>212</v>
      </c>
      <c r="N51" s="92">
        <v>0.1</v>
      </c>
      <c r="O51" s="10">
        <f>VLOOKUP(M51,PID!A29:B271,2,0)</f>
        <v>1.52</v>
      </c>
      <c r="P51" s="11">
        <f t="shared" si="7"/>
        <v>0</v>
      </c>
      <c r="Q51" s="10">
        <f t="shared" si="2"/>
        <v>0</v>
      </c>
      <c r="R51" s="1062">
        <f t="shared" si="3"/>
        <v>4599.2</v>
      </c>
      <c r="S51" s="1062"/>
      <c r="T51" s="1062">
        <f t="shared" si="4"/>
        <v>6898.8</v>
      </c>
      <c r="U51" s="1062"/>
      <c r="V51" s="12">
        <f t="shared" si="5"/>
        <v>11498</v>
      </c>
      <c r="W51" s="12">
        <f t="shared" si="6"/>
        <v>0</v>
      </c>
      <c r="X51" s="13"/>
      <c r="Y51" s="9"/>
    </row>
    <row r="52" spans="1:25" s="7" customFormat="1" ht="18.75" hidden="1" customHeight="1" x14ac:dyDescent="0.2">
      <c r="A52" s="8">
        <v>43</v>
      </c>
      <c r="B52" s="91" t="s">
        <v>418</v>
      </c>
      <c r="C52" s="92"/>
      <c r="D52" s="93" t="s">
        <v>411</v>
      </c>
      <c r="E52" s="92">
        <v>51</v>
      </c>
      <c r="F52" s="9"/>
      <c r="G52" s="9"/>
      <c r="H52" s="9"/>
      <c r="I52" s="9"/>
      <c r="J52" s="9"/>
      <c r="K52" s="9"/>
      <c r="L52" s="10">
        <f t="shared" si="1"/>
        <v>0</v>
      </c>
      <c r="M52" s="9" t="s">
        <v>203</v>
      </c>
      <c r="N52" s="92">
        <v>0.1</v>
      </c>
      <c r="O52" s="10">
        <f>VLOOKUP(M52,PID!A30:B272,2,0)</f>
        <v>1.68</v>
      </c>
      <c r="P52" s="11">
        <f t="shared" si="7"/>
        <v>0</v>
      </c>
      <c r="Q52" s="10">
        <f t="shared" si="2"/>
        <v>0</v>
      </c>
      <c r="R52" s="1062">
        <f t="shared" si="3"/>
        <v>4599.2</v>
      </c>
      <c r="S52" s="1062"/>
      <c r="T52" s="1062">
        <f t="shared" si="4"/>
        <v>6898.8</v>
      </c>
      <c r="U52" s="1062"/>
      <c r="V52" s="12">
        <f t="shared" si="5"/>
        <v>11498</v>
      </c>
      <c r="W52" s="12">
        <f t="shared" si="6"/>
        <v>0</v>
      </c>
      <c r="X52" s="13"/>
      <c r="Y52" s="9"/>
    </row>
    <row r="53" spans="1:25" s="7" customFormat="1" ht="18.75" hidden="1" customHeight="1" x14ac:dyDescent="0.2">
      <c r="A53" s="8">
        <v>44</v>
      </c>
      <c r="B53" s="91" t="s">
        <v>417</v>
      </c>
      <c r="C53" s="92"/>
      <c r="D53" s="93" t="s">
        <v>411</v>
      </c>
      <c r="E53" s="92">
        <v>51</v>
      </c>
      <c r="F53" s="9"/>
      <c r="G53" s="9"/>
      <c r="H53" s="9"/>
      <c r="I53" s="9"/>
      <c r="J53" s="9"/>
      <c r="K53" s="9"/>
      <c r="L53" s="10">
        <f t="shared" si="1"/>
        <v>0</v>
      </c>
      <c r="M53" s="9" t="s">
        <v>203</v>
      </c>
      <c r="N53" s="92">
        <v>0.1</v>
      </c>
      <c r="O53" s="10">
        <f>VLOOKUP(M53,PID!A31:B273,2,0)</f>
        <v>1.68</v>
      </c>
      <c r="P53" s="11">
        <f t="shared" si="7"/>
        <v>0</v>
      </c>
      <c r="Q53" s="10">
        <f t="shared" si="2"/>
        <v>0</v>
      </c>
      <c r="R53" s="1062">
        <f t="shared" si="3"/>
        <v>4599.2</v>
      </c>
      <c r="S53" s="1062"/>
      <c r="T53" s="1062">
        <f t="shared" si="4"/>
        <v>6898.8</v>
      </c>
      <c r="U53" s="1062"/>
      <c r="V53" s="12">
        <f t="shared" si="5"/>
        <v>11498</v>
      </c>
      <c r="W53" s="12">
        <f t="shared" si="6"/>
        <v>0</v>
      </c>
      <c r="X53" s="13"/>
      <c r="Y53" s="9"/>
    </row>
    <row r="54" spans="1:25" s="7" customFormat="1" ht="18.75" hidden="1" customHeight="1" x14ac:dyDescent="0.2">
      <c r="A54" s="8">
        <v>45</v>
      </c>
      <c r="B54" s="91" t="s">
        <v>419</v>
      </c>
      <c r="C54" s="92"/>
      <c r="D54" s="93" t="s">
        <v>411</v>
      </c>
      <c r="E54" s="92">
        <v>51</v>
      </c>
      <c r="F54" s="9"/>
      <c r="G54" s="9"/>
      <c r="H54" s="9"/>
      <c r="I54" s="9"/>
      <c r="J54" s="9"/>
      <c r="K54" s="9"/>
      <c r="L54" s="10">
        <f t="shared" si="1"/>
        <v>0</v>
      </c>
      <c r="M54" s="9" t="s">
        <v>140</v>
      </c>
      <c r="N54" s="92">
        <v>0.1</v>
      </c>
      <c r="O54" s="10">
        <f>VLOOKUP(M54,PID!A32:B274,2,0)</f>
        <v>2.73</v>
      </c>
      <c r="P54" s="11">
        <f t="shared" si="7"/>
        <v>0</v>
      </c>
      <c r="Q54" s="10">
        <f t="shared" si="2"/>
        <v>0</v>
      </c>
      <c r="R54" s="1062">
        <f t="shared" si="3"/>
        <v>4599.2</v>
      </c>
      <c r="S54" s="1062"/>
      <c r="T54" s="1062">
        <f t="shared" si="4"/>
        <v>6898.8</v>
      </c>
      <c r="U54" s="1062"/>
      <c r="V54" s="12">
        <f t="shared" si="5"/>
        <v>11498</v>
      </c>
      <c r="W54" s="12">
        <f t="shared" si="6"/>
        <v>0</v>
      </c>
      <c r="X54" s="13"/>
      <c r="Y54" s="9"/>
    </row>
    <row r="55" spans="1:25" s="7" customFormat="1" ht="18.75" hidden="1" customHeight="1" x14ac:dyDescent="0.2">
      <c r="A55" s="8">
        <v>46</v>
      </c>
      <c r="B55" s="91" t="s">
        <v>420</v>
      </c>
      <c r="C55" s="92"/>
      <c r="D55" s="93" t="s">
        <v>411</v>
      </c>
      <c r="E55" s="92">
        <v>51</v>
      </c>
      <c r="F55" s="9"/>
      <c r="G55" s="9"/>
      <c r="H55" s="9"/>
      <c r="I55" s="9"/>
      <c r="J55" s="9"/>
      <c r="K55" s="9"/>
      <c r="L55" s="10">
        <f t="shared" si="1"/>
        <v>0</v>
      </c>
      <c r="M55" s="9" t="s">
        <v>140</v>
      </c>
      <c r="N55" s="92">
        <v>0.1</v>
      </c>
      <c r="O55" s="10">
        <f>VLOOKUP(M55,PID!A33:B275,2,0)</f>
        <v>2.73</v>
      </c>
      <c r="P55" s="11">
        <f t="shared" si="7"/>
        <v>0</v>
      </c>
      <c r="Q55" s="10">
        <f t="shared" si="2"/>
        <v>0</v>
      </c>
      <c r="R55" s="1062">
        <f t="shared" si="3"/>
        <v>4599.2</v>
      </c>
      <c r="S55" s="1062"/>
      <c r="T55" s="1062">
        <f t="shared" si="4"/>
        <v>6898.8</v>
      </c>
      <c r="U55" s="1062"/>
      <c r="V55" s="12">
        <f t="shared" si="5"/>
        <v>11498</v>
      </c>
      <c r="W55" s="12">
        <f t="shared" si="6"/>
        <v>0</v>
      </c>
      <c r="X55" s="13"/>
      <c r="Y55" s="9"/>
    </row>
    <row r="56" spans="1:25" s="7" customFormat="1" ht="18.75" hidden="1" customHeight="1" x14ac:dyDescent="0.2">
      <c r="A56" s="8">
        <v>47</v>
      </c>
      <c r="B56" s="91" t="s">
        <v>421</v>
      </c>
      <c r="C56" s="92"/>
      <c r="D56" s="93" t="s">
        <v>411</v>
      </c>
      <c r="E56" s="92">
        <v>51</v>
      </c>
      <c r="F56" s="9"/>
      <c r="G56" s="9"/>
      <c r="H56" s="9"/>
      <c r="I56" s="9"/>
      <c r="J56" s="9"/>
      <c r="K56" s="9"/>
      <c r="L56" s="10">
        <f t="shared" si="1"/>
        <v>0</v>
      </c>
      <c r="M56" s="9" t="s">
        <v>140</v>
      </c>
      <c r="N56" s="92">
        <v>0.1</v>
      </c>
      <c r="O56" s="10">
        <f>VLOOKUP(M56,PID!A34:B276,2,0)</f>
        <v>2.73</v>
      </c>
      <c r="P56" s="11">
        <f t="shared" si="7"/>
        <v>0</v>
      </c>
      <c r="Q56" s="10">
        <f t="shared" si="2"/>
        <v>0</v>
      </c>
      <c r="R56" s="1062">
        <f t="shared" si="3"/>
        <v>4599.2</v>
      </c>
      <c r="S56" s="1062"/>
      <c r="T56" s="1062">
        <f t="shared" si="4"/>
        <v>6898.8</v>
      </c>
      <c r="U56" s="1062"/>
      <c r="V56" s="12">
        <f t="shared" si="5"/>
        <v>11498</v>
      </c>
      <c r="W56" s="12">
        <f t="shared" si="6"/>
        <v>0</v>
      </c>
      <c r="X56" s="13"/>
      <c r="Y56" s="9"/>
    </row>
    <row r="57" spans="1:25" s="7" customFormat="1" ht="18.75" hidden="1" customHeight="1" x14ac:dyDescent="0.2">
      <c r="A57" s="8">
        <v>48</v>
      </c>
      <c r="B57" s="91" t="s">
        <v>422</v>
      </c>
      <c r="C57" s="92"/>
      <c r="D57" s="93" t="s">
        <v>411</v>
      </c>
      <c r="E57" s="92">
        <v>51</v>
      </c>
      <c r="F57" s="9"/>
      <c r="G57" s="9"/>
      <c r="H57" s="9"/>
      <c r="I57" s="9"/>
      <c r="J57" s="9"/>
      <c r="K57" s="9"/>
      <c r="L57" s="10">
        <f t="shared" si="1"/>
        <v>0</v>
      </c>
      <c r="M57" s="9" t="s">
        <v>140</v>
      </c>
      <c r="N57" s="92">
        <v>0.1</v>
      </c>
      <c r="O57" s="10">
        <f>VLOOKUP(M57,PID!A35:B277,2,0)</f>
        <v>2.73</v>
      </c>
      <c r="P57" s="11">
        <f t="shared" si="7"/>
        <v>0</v>
      </c>
      <c r="Q57" s="10">
        <f t="shared" si="2"/>
        <v>0</v>
      </c>
      <c r="R57" s="1062">
        <f t="shared" si="3"/>
        <v>4599.2</v>
      </c>
      <c r="S57" s="1062"/>
      <c r="T57" s="1062">
        <f t="shared" si="4"/>
        <v>6898.8</v>
      </c>
      <c r="U57" s="1062"/>
      <c r="V57" s="12">
        <f t="shared" si="5"/>
        <v>11498</v>
      </c>
      <c r="W57" s="12">
        <f t="shared" si="6"/>
        <v>0</v>
      </c>
      <c r="X57" s="13"/>
      <c r="Y57" s="9"/>
    </row>
    <row r="58" spans="1:25" s="7" customFormat="1" ht="18.75" hidden="1" customHeight="1" x14ac:dyDescent="0.2">
      <c r="A58" s="8">
        <v>49</v>
      </c>
      <c r="B58" s="91" t="s">
        <v>424</v>
      </c>
      <c r="C58" s="92"/>
      <c r="D58" s="93" t="s">
        <v>411</v>
      </c>
      <c r="E58" s="92" t="s">
        <v>423</v>
      </c>
      <c r="F58" s="9"/>
      <c r="G58" s="9"/>
      <c r="H58" s="9"/>
      <c r="I58" s="9"/>
      <c r="J58" s="9"/>
      <c r="K58" s="9"/>
      <c r="L58" s="10">
        <f t="shared" si="1"/>
        <v>0</v>
      </c>
      <c r="M58" s="9" t="s">
        <v>176</v>
      </c>
      <c r="N58" s="92">
        <v>0.1</v>
      </c>
      <c r="O58" s="10">
        <f>VLOOKUP(M58,PID!A36:B278,2,0)</f>
        <v>2.1</v>
      </c>
      <c r="P58" s="11">
        <f t="shared" si="7"/>
        <v>0</v>
      </c>
      <c r="Q58" s="10">
        <f t="shared" si="2"/>
        <v>0</v>
      </c>
      <c r="R58" s="1062">
        <f t="shared" si="3"/>
        <v>4599.2</v>
      </c>
      <c r="S58" s="1062"/>
      <c r="T58" s="1062">
        <f t="shared" si="4"/>
        <v>6898.8</v>
      </c>
      <c r="U58" s="1062"/>
      <c r="V58" s="12">
        <f t="shared" si="5"/>
        <v>11498</v>
      </c>
      <c r="W58" s="12">
        <f t="shared" si="6"/>
        <v>0</v>
      </c>
      <c r="X58" s="13"/>
      <c r="Y58" s="9"/>
    </row>
    <row r="59" spans="1:25" s="7" customFormat="1" ht="18.75" hidden="1" customHeight="1" x14ac:dyDescent="0.2">
      <c r="A59" s="8">
        <v>50</v>
      </c>
      <c r="B59" s="91" t="s">
        <v>425</v>
      </c>
      <c r="C59" s="92"/>
      <c r="D59" s="93" t="s">
        <v>411</v>
      </c>
      <c r="E59" s="92" t="s">
        <v>423</v>
      </c>
      <c r="F59" s="9"/>
      <c r="G59" s="9"/>
      <c r="H59" s="9"/>
      <c r="I59" s="9"/>
      <c r="J59" s="9"/>
      <c r="K59" s="9"/>
      <c r="L59" s="10">
        <f t="shared" si="1"/>
        <v>0</v>
      </c>
      <c r="M59" s="9" t="s">
        <v>176</v>
      </c>
      <c r="N59" s="92">
        <v>0.1</v>
      </c>
      <c r="O59" s="10">
        <f>VLOOKUP(M59,PID!A37:B279,2,0)</f>
        <v>2.1</v>
      </c>
      <c r="P59" s="11">
        <f t="shared" si="7"/>
        <v>0</v>
      </c>
      <c r="Q59" s="10">
        <f t="shared" si="2"/>
        <v>0</v>
      </c>
      <c r="R59" s="1062">
        <f t="shared" si="3"/>
        <v>4599.2</v>
      </c>
      <c r="S59" s="1062"/>
      <c r="T59" s="1062">
        <f t="shared" si="4"/>
        <v>6898.8</v>
      </c>
      <c r="U59" s="1062"/>
      <c r="V59" s="12">
        <f t="shared" si="5"/>
        <v>11498</v>
      </c>
      <c r="W59" s="12">
        <f t="shared" si="6"/>
        <v>0</v>
      </c>
      <c r="X59" s="13"/>
      <c r="Y59" s="9"/>
    </row>
    <row r="60" spans="1:25" s="7" customFormat="1" ht="18.75" hidden="1" customHeight="1" x14ac:dyDescent="0.2">
      <c r="A60" s="8">
        <v>51</v>
      </c>
      <c r="B60" s="91" t="s">
        <v>426</v>
      </c>
      <c r="C60" s="92"/>
      <c r="D60" s="93" t="s">
        <v>411</v>
      </c>
      <c r="E60" s="92" t="s">
        <v>423</v>
      </c>
      <c r="F60" s="9"/>
      <c r="G60" s="9"/>
      <c r="H60" s="9"/>
      <c r="I60" s="9"/>
      <c r="J60" s="9"/>
      <c r="K60" s="9"/>
      <c r="L60" s="10">
        <f t="shared" si="1"/>
        <v>0</v>
      </c>
      <c r="M60" s="9" t="s">
        <v>176</v>
      </c>
      <c r="N60" s="92">
        <v>0.1</v>
      </c>
      <c r="O60" s="10">
        <f>VLOOKUP(M60,PID!A38:B280,2,0)</f>
        <v>2.1</v>
      </c>
      <c r="P60" s="11">
        <f t="shared" si="7"/>
        <v>0</v>
      </c>
      <c r="Q60" s="10">
        <f t="shared" si="2"/>
        <v>0</v>
      </c>
      <c r="R60" s="1062">
        <f t="shared" si="3"/>
        <v>4599.2</v>
      </c>
      <c r="S60" s="1062"/>
      <c r="T60" s="1062">
        <f t="shared" si="4"/>
        <v>6898.8</v>
      </c>
      <c r="U60" s="1062"/>
      <c r="V60" s="12">
        <f t="shared" si="5"/>
        <v>11498</v>
      </c>
      <c r="W60" s="12">
        <f t="shared" si="6"/>
        <v>0</v>
      </c>
      <c r="X60" s="13"/>
      <c r="Y60" s="9"/>
    </row>
    <row r="61" spans="1:25" s="7" customFormat="1" ht="18.75" hidden="1" customHeight="1" x14ac:dyDescent="0.2">
      <c r="A61" s="8">
        <v>52</v>
      </c>
      <c r="B61" s="91" t="s">
        <v>427</v>
      </c>
      <c r="C61" s="92"/>
      <c r="D61" s="93" t="s">
        <v>411</v>
      </c>
      <c r="E61" s="92" t="s">
        <v>423</v>
      </c>
      <c r="F61" s="9"/>
      <c r="G61" s="9"/>
      <c r="H61" s="9"/>
      <c r="I61" s="9"/>
      <c r="J61" s="9"/>
      <c r="K61" s="9"/>
      <c r="L61" s="10">
        <f t="shared" si="1"/>
        <v>0</v>
      </c>
      <c r="M61" s="9" t="s">
        <v>176</v>
      </c>
      <c r="N61" s="92">
        <v>0.1</v>
      </c>
      <c r="O61" s="10">
        <f>VLOOKUP(M61,PID!A39:B281,2,0)</f>
        <v>2.1</v>
      </c>
      <c r="P61" s="11">
        <f t="shared" si="7"/>
        <v>0</v>
      </c>
      <c r="Q61" s="10">
        <f t="shared" si="2"/>
        <v>0</v>
      </c>
      <c r="R61" s="1062">
        <f t="shared" si="3"/>
        <v>4599.2</v>
      </c>
      <c r="S61" s="1062"/>
      <c r="T61" s="1062">
        <f t="shared" si="4"/>
        <v>6898.8</v>
      </c>
      <c r="U61" s="1062"/>
      <c r="V61" s="12">
        <f t="shared" si="5"/>
        <v>11498</v>
      </c>
      <c r="W61" s="12">
        <f t="shared" si="6"/>
        <v>0</v>
      </c>
      <c r="X61" s="13"/>
      <c r="Y61" s="9"/>
    </row>
    <row r="62" spans="1:25" s="7" customFormat="1" ht="18.75" hidden="1" customHeight="1" x14ac:dyDescent="0.2">
      <c r="A62" s="8">
        <v>53</v>
      </c>
      <c r="B62" s="91" t="s">
        <v>428</v>
      </c>
      <c r="C62" s="92"/>
      <c r="D62" s="93" t="s">
        <v>411</v>
      </c>
      <c r="E62" s="92" t="s">
        <v>423</v>
      </c>
      <c r="F62" s="9"/>
      <c r="G62" s="9"/>
      <c r="H62" s="9"/>
      <c r="I62" s="9"/>
      <c r="J62" s="9"/>
      <c r="K62" s="9"/>
      <c r="L62" s="10">
        <f t="shared" si="1"/>
        <v>0</v>
      </c>
      <c r="M62" s="9" t="s">
        <v>212</v>
      </c>
      <c r="N62" s="92">
        <v>0.1</v>
      </c>
      <c r="O62" s="10">
        <f>VLOOKUP(M62,PID!A40:B282,2,0)</f>
        <v>1.52</v>
      </c>
      <c r="P62" s="11">
        <f t="shared" si="7"/>
        <v>0</v>
      </c>
      <c r="Q62" s="10">
        <f t="shared" si="2"/>
        <v>0</v>
      </c>
      <c r="R62" s="1062">
        <f t="shared" si="3"/>
        <v>4599.2</v>
      </c>
      <c r="S62" s="1062"/>
      <c r="T62" s="1062">
        <f t="shared" si="4"/>
        <v>6898.8</v>
      </c>
      <c r="U62" s="1062"/>
      <c r="V62" s="12">
        <f t="shared" si="5"/>
        <v>11498</v>
      </c>
      <c r="W62" s="12">
        <f t="shared" si="6"/>
        <v>0</v>
      </c>
      <c r="X62" s="13"/>
      <c r="Y62" s="9"/>
    </row>
    <row r="63" spans="1:25" s="7" customFormat="1" ht="18.75" hidden="1" customHeight="1" x14ac:dyDescent="0.2">
      <c r="A63" s="8">
        <v>54</v>
      </c>
      <c r="B63" s="91" t="s">
        <v>429</v>
      </c>
      <c r="C63" s="92"/>
      <c r="D63" s="93" t="s">
        <v>411</v>
      </c>
      <c r="E63" s="92" t="s">
        <v>423</v>
      </c>
      <c r="F63" s="9"/>
      <c r="G63" s="9"/>
      <c r="H63" s="9"/>
      <c r="I63" s="9"/>
      <c r="J63" s="9"/>
      <c r="K63" s="9"/>
      <c r="L63" s="10">
        <f t="shared" si="1"/>
        <v>0</v>
      </c>
      <c r="M63" s="9" t="s">
        <v>212</v>
      </c>
      <c r="N63" s="92">
        <v>0.1</v>
      </c>
      <c r="O63" s="10">
        <f>VLOOKUP(M63,PID!A41:B283,2,0)</f>
        <v>1.52</v>
      </c>
      <c r="P63" s="11">
        <f t="shared" si="7"/>
        <v>0</v>
      </c>
      <c r="Q63" s="10">
        <f t="shared" si="2"/>
        <v>0</v>
      </c>
      <c r="R63" s="1062">
        <f t="shared" si="3"/>
        <v>4599.2</v>
      </c>
      <c r="S63" s="1062"/>
      <c r="T63" s="1062">
        <f t="shared" si="4"/>
        <v>6898.8</v>
      </c>
      <c r="U63" s="1062"/>
      <c r="V63" s="12">
        <f t="shared" si="5"/>
        <v>11498</v>
      </c>
      <c r="W63" s="12">
        <f t="shared" si="6"/>
        <v>0</v>
      </c>
      <c r="X63" s="13"/>
      <c r="Y63" s="9"/>
    </row>
    <row r="64" spans="1:25" s="7" customFormat="1" ht="18.75" hidden="1" customHeight="1" x14ac:dyDescent="0.2">
      <c r="A64" s="8">
        <v>55</v>
      </c>
      <c r="B64" s="91" t="s">
        <v>430</v>
      </c>
      <c r="C64" s="92"/>
      <c r="D64" s="93" t="s">
        <v>411</v>
      </c>
      <c r="E64" s="92">
        <v>83</v>
      </c>
      <c r="F64" s="9"/>
      <c r="G64" s="9"/>
      <c r="H64" s="9"/>
      <c r="I64" s="9"/>
      <c r="J64" s="9"/>
      <c r="K64" s="9"/>
      <c r="L64" s="10">
        <f t="shared" si="1"/>
        <v>0</v>
      </c>
      <c r="M64" s="9" t="s">
        <v>176</v>
      </c>
      <c r="N64" s="92">
        <v>0.1</v>
      </c>
      <c r="O64" s="10">
        <f>VLOOKUP(M64,PID!A42:B284,2,0)</f>
        <v>2.1</v>
      </c>
      <c r="P64" s="11">
        <f t="shared" si="7"/>
        <v>0</v>
      </c>
      <c r="Q64" s="10">
        <f t="shared" si="2"/>
        <v>0</v>
      </c>
      <c r="R64" s="1062">
        <f t="shared" si="3"/>
        <v>4599.2</v>
      </c>
      <c r="S64" s="1062"/>
      <c r="T64" s="1062">
        <f t="shared" si="4"/>
        <v>6898.8</v>
      </c>
      <c r="U64" s="1062"/>
      <c r="V64" s="12">
        <f t="shared" si="5"/>
        <v>11498</v>
      </c>
      <c r="W64" s="12">
        <f t="shared" si="6"/>
        <v>0</v>
      </c>
      <c r="X64" s="13"/>
      <c r="Y64" s="9"/>
    </row>
    <row r="65" spans="1:26" s="7" customFormat="1" ht="18.75" hidden="1" customHeight="1" x14ac:dyDescent="0.2">
      <c r="A65" s="8">
        <v>56</v>
      </c>
      <c r="B65" s="91" t="s">
        <v>431</v>
      </c>
      <c r="C65" s="92"/>
      <c r="D65" s="93" t="s">
        <v>411</v>
      </c>
      <c r="E65" s="92">
        <v>83</v>
      </c>
      <c r="F65" s="9"/>
      <c r="G65" s="9"/>
      <c r="H65" s="9"/>
      <c r="I65" s="9"/>
      <c r="J65" s="9"/>
      <c r="K65" s="9"/>
      <c r="L65" s="10">
        <f t="shared" si="1"/>
        <v>0</v>
      </c>
      <c r="M65" s="9" t="s">
        <v>176</v>
      </c>
      <c r="N65" s="92">
        <v>0.1</v>
      </c>
      <c r="O65" s="10">
        <f>VLOOKUP(M65,PID!A43:B285,2,0)</f>
        <v>2.1</v>
      </c>
      <c r="P65" s="11">
        <f t="shared" si="7"/>
        <v>0</v>
      </c>
      <c r="Q65" s="10">
        <f t="shared" si="2"/>
        <v>0</v>
      </c>
      <c r="R65" s="1062">
        <f t="shared" si="3"/>
        <v>4599.2</v>
      </c>
      <c r="S65" s="1062"/>
      <c r="T65" s="1062">
        <f t="shared" si="4"/>
        <v>6898.8</v>
      </c>
      <c r="U65" s="1062"/>
      <c r="V65" s="12">
        <f t="shared" si="5"/>
        <v>11498</v>
      </c>
      <c r="W65" s="12">
        <f t="shared" si="6"/>
        <v>0</v>
      </c>
      <c r="X65" s="13"/>
      <c r="Y65" s="9"/>
    </row>
    <row r="66" spans="1:26" s="7" customFormat="1" ht="18.75" hidden="1" customHeight="1" x14ac:dyDescent="0.2">
      <c r="A66" s="8">
        <v>57</v>
      </c>
      <c r="B66" s="91" t="s">
        <v>432</v>
      </c>
      <c r="C66" s="92"/>
      <c r="D66" s="93" t="s">
        <v>411</v>
      </c>
      <c r="E66" s="92">
        <v>83</v>
      </c>
      <c r="F66" s="9"/>
      <c r="G66" s="9"/>
      <c r="H66" s="9"/>
      <c r="I66" s="9"/>
      <c r="J66" s="9"/>
      <c r="K66" s="9"/>
      <c r="L66" s="10">
        <f t="shared" si="1"/>
        <v>0</v>
      </c>
      <c r="M66" s="9" t="s">
        <v>212</v>
      </c>
      <c r="N66" s="92">
        <v>0.1</v>
      </c>
      <c r="O66" s="10">
        <f>VLOOKUP(M66,PID!A24:B266,2,0)</f>
        <v>1.52</v>
      </c>
      <c r="P66" s="11">
        <f t="shared" si="7"/>
        <v>0</v>
      </c>
      <c r="Q66" s="10">
        <f t="shared" si="2"/>
        <v>0</v>
      </c>
      <c r="R66" s="1062">
        <f t="shared" si="3"/>
        <v>4599.2</v>
      </c>
      <c r="S66" s="1062"/>
      <c r="T66" s="1062">
        <f t="shared" si="4"/>
        <v>6898.8</v>
      </c>
      <c r="U66" s="1062"/>
      <c r="V66" s="12">
        <f t="shared" si="5"/>
        <v>11498</v>
      </c>
      <c r="W66" s="12">
        <f t="shared" si="6"/>
        <v>0</v>
      </c>
      <c r="X66" s="13"/>
      <c r="Y66" s="9"/>
    </row>
    <row r="67" spans="1:26" s="7" customFormat="1" ht="18.75" hidden="1" customHeight="1" x14ac:dyDescent="0.2">
      <c r="A67" s="8">
        <v>58</v>
      </c>
      <c r="B67" s="91" t="s">
        <v>434</v>
      </c>
      <c r="C67" s="92"/>
      <c r="D67" s="93" t="s">
        <v>433</v>
      </c>
      <c r="E67" s="92" t="s">
        <v>435</v>
      </c>
      <c r="F67" s="9"/>
      <c r="G67" s="9"/>
      <c r="H67" s="9"/>
      <c r="I67" s="9"/>
      <c r="J67" s="9"/>
      <c r="K67" s="9"/>
      <c r="L67" s="10">
        <f t="shared" si="1"/>
        <v>0</v>
      </c>
      <c r="M67" s="9" t="s">
        <v>223</v>
      </c>
      <c r="N67" s="92">
        <v>7.4999999999999997E-2</v>
      </c>
      <c r="O67" s="10">
        <f>VLOOKUP(M67,PID!A25:B267,2,0)</f>
        <v>1.19</v>
      </c>
      <c r="P67" s="11">
        <f t="shared" si="7"/>
        <v>0</v>
      </c>
      <c r="Q67" s="10">
        <f t="shared" si="2"/>
        <v>0</v>
      </c>
      <c r="R67" s="1062">
        <f t="shared" si="3"/>
        <v>4599.2</v>
      </c>
      <c r="S67" s="1062"/>
      <c r="T67" s="1062">
        <f t="shared" si="4"/>
        <v>6898.8</v>
      </c>
      <c r="U67" s="1062"/>
      <c r="V67" s="12">
        <f t="shared" si="5"/>
        <v>11498</v>
      </c>
      <c r="W67" s="12">
        <f t="shared" si="6"/>
        <v>0</v>
      </c>
      <c r="X67" s="13"/>
      <c r="Y67" s="9"/>
    </row>
    <row r="68" spans="1:26" s="7" customFormat="1" ht="18.75" hidden="1" customHeight="1" x14ac:dyDescent="0.2">
      <c r="A68" s="8">
        <v>59</v>
      </c>
      <c r="B68" s="91" t="s">
        <v>436</v>
      </c>
      <c r="C68" s="92"/>
      <c r="D68" s="93" t="s">
        <v>433</v>
      </c>
      <c r="E68" s="92">
        <v>51</v>
      </c>
      <c r="F68" s="9"/>
      <c r="G68" s="9"/>
      <c r="H68" s="9"/>
      <c r="I68" s="9"/>
      <c r="J68" s="9"/>
      <c r="K68" s="9"/>
      <c r="L68" s="10">
        <f t="shared" si="1"/>
        <v>0</v>
      </c>
      <c r="M68" s="9" t="s">
        <v>223</v>
      </c>
      <c r="N68" s="92">
        <v>7.4999999999999997E-2</v>
      </c>
      <c r="O68" s="10">
        <f>VLOOKUP(M68,PID!A26:B268,2,0)</f>
        <v>1.19</v>
      </c>
      <c r="P68" s="11">
        <f t="shared" si="7"/>
        <v>0</v>
      </c>
      <c r="Q68" s="10">
        <f t="shared" si="2"/>
        <v>0</v>
      </c>
      <c r="R68" s="1062">
        <f t="shared" si="3"/>
        <v>4599.2</v>
      </c>
      <c r="S68" s="1062"/>
      <c r="T68" s="1062">
        <f t="shared" si="4"/>
        <v>6898.8</v>
      </c>
      <c r="U68" s="1062"/>
      <c r="V68" s="12">
        <f t="shared" si="5"/>
        <v>11498</v>
      </c>
      <c r="W68" s="12">
        <f t="shared" si="6"/>
        <v>0</v>
      </c>
      <c r="X68" s="13"/>
      <c r="Y68" s="9"/>
    </row>
    <row r="69" spans="1:26" s="7" customFormat="1" ht="18.75" hidden="1" customHeight="1" x14ac:dyDescent="0.2">
      <c r="A69" s="8">
        <v>60</v>
      </c>
      <c r="B69" s="91" t="s">
        <v>437</v>
      </c>
      <c r="C69" s="92"/>
      <c r="D69" s="93" t="s">
        <v>433</v>
      </c>
      <c r="E69" s="92">
        <v>51</v>
      </c>
      <c r="F69" s="9"/>
      <c r="G69" s="9"/>
      <c r="H69" s="9"/>
      <c r="I69" s="9"/>
      <c r="J69" s="9"/>
      <c r="K69" s="9"/>
      <c r="L69" s="10">
        <f t="shared" si="1"/>
        <v>0</v>
      </c>
      <c r="M69" s="9" t="s">
        <v>223</v>
      </c>
      <c r="N69" s="92">
        <v>7.4999999999999997E-2</v>
      </c>
      <c r="O69" s="10">
        <f>VLOOKUP(M69,PID!A27:B269,2,0)</f>
        <v>1.19</v>
      </c>
      <c r="P69" s="11">
        <f t="shared" si="7"/>
        <v>0</v>
      </c>
      <c r="Q69" s="10">
        <f t="shared" si="2"/>
        <v>0</v>
      </c>
      <c r="R69" s="1062">
        <f t="shared" si="3"/>
        <v>4599.2</v>
      </c>
      <c r="S69" s="1062"/>
      <c r="T69" s="1062">
        <f t="shared" si="4"/>
        <v>6898.8</v>
      </c>
      <c r="U69" s="1062"/>
      <c r="V69" s="12">
        <f t="shared" si="5"/>
        <v>11498</v>
      </c>
      <c r="W69" s="12">
        <f t="shared" si="6"/>
        <v>0</v>
      </c>
      <c r="X69" s="13"/>
      <c r="Y69" s="9"/>
    </row>
    <row r="70" spans="1:26" s="7" customFormat="1" ht="18.75" hidden="1" customHeight="1" x14ac:dyDescent="0.2">
      <c r="A70" s="8">
        <v>61</v>
      </c>
      <c r="B70" s="91" t="s">
        <v>438</v>
      </c>
      <c r="C70" s="92"/>
      <c r="D70" s="93" t="s">
        <v>433</v>
      </c>
      <c r="E70" s="92" t="s">
        <v>423</v>
      </c>
      <c r="F70" s="9"/>
      <c r="G70" s="9"/>
      <c r="H70" s="9"/>
      <c r="I70" s="9"/>
      <c r="J70" s="9"/>
      <c r="K70" s="9"/>
      <c r="L70" s="10">
        <f t="shared" si="1"/>
        <v>0</v>
      </c>
      <c r="M70" s="9" t="s">
        <v>223</v>
      </c>
      <c r="N70" s="92">
        <v>7.4999999999999997E-2</v>
      </c>
      <c r="O70" s="10">
        <f>VLOOKUP(M70,PID!A28:B270,2,0)</f>
        <v>1.19</v>
      </c>
      <c r="P70" s="11">
        <f t="shared" si="7"/>
        <v>0</v>
      </c>
      <c r="Q70" s="10">
        <f t="shared" si="2"/>
        <v>0</v>
      </c>
      <c r="R70" s="1062">
        <f t="shared" si="3"/>
        <v>4599.2</v>
      </c>
      <c r="S70" s="1062"/>
      <c r="T70" s="1062">
        <f t="shared" si="4"/>
        <v>6898.8</v>
      </c>
      <c r="U70" s="1062"/>
      <c r="V70" s="12">
        <f t="shared" si="5"/>
        <v>11498</v>
      </c>
      <c r="W70" s="12">
        <f t="shared" si="6"/>
        <v>0</v>
      </c>
      <c r="X70" s="13"/>
      <c r="Y70" s="9"/>
    </row>
    <row r="71" spans="1:26" s="7" customFormat="1" ht="18.75" hidden="1" customHeight="1" x14ac:dyDescent="0.2">
      <c r="A71" s="8">
        <v>62</v>
      </c>
      <c r="B71" s="91" t="s">
        <v>439</v>
      </c>
      <c r="C71" s="92"/>
      <c r="D71" s="93" t="s">
        <v>433</v>
      </c>
      <c r="E71" s="92">
        <v>83</v>
      </c>
      <c r="F71" s="9"/>
      <c r="G71" s="9"/>
      <c r="H71" s="9"/>
      <c r="I71" s="9"/>
      <c r="J71" s="9"/>
      <c r="K71" s="9"/>
      <c r="L71" s="10">
        <f t="shared" si="1"/>
        <v>0</v>
      </c>
      <c r="M71" s="9" t="s">
        <v>232</v>
      </c>
      <c r="N71" s="92">
        <v>7.4999999999999997E-2</v>
      </c>
      <c r="O71" s="10">
        <f>VLOOKUP(M71,PID!A29:B271,2,0)</f>
        <v>0.95</v>
      </c>
      <c r="P71" s="11">
        <f t="shared" si="7"/>
        <v>0</v>
      </c>
      <c r="Q71" s="10">
        <f t="shared" si="2"/>
        <v>0</v>
      </c>
      <c r="R71" s="1062">
        <f t="shared" si="3"/>
        <v>4599.2</v>
      </c>
      <c r="S71" s="1062"/>
      <c r="T71" s="1062">
        <f t="shared" si="4"/>
        <v>6898.8</v>
      </c>
      <c r="U71" s="1062"/>
      <c r="V71" s="12">
        <f t="shared" si="5"/>
        <v>11498</v>
      </c>
      <c r="W71" s="12">
        <f t="shared" si="6"/>
        <v>0</v>
      </c>
      <c r="X71" s="13"/>
      <c r="Y71" s="9"/>
    </row>
    <row r="72" spans="1:26" s="7" customFormat="1" ht="18.75" hidden="1" customHeight="1" x14ac:dyDescent="0.2">
      <c r="A72" s="8">
        <v>63</v>
      </c>
      <c r="B72" s="91" t="s">
        <v>440</v>
      </c>
      <c r="C72" s="92"/>
      <c r="D72" s="93" t="s">
        <v>433</v>
      </c>
      <c r="E72" s="92">
        <v>83</v>
      </c>
      <c r="F72" s="9"/>
      <c r="G72" s="9"/>
      <c r="H72" s="9"/>
      <c r="I72" s="9"/>
      <c r="J72" s="9"/>
      <c r="K72" s="9"/>
      <c r="L72" s="10">
        <f t="shared" si="1"/>
        <v>0</v>
      </c>
      <c r="M72" s="9" t="s">
        <v>250</v>
      </c>
      <c r="N72" s="92">
        <v>7.4999999999999997E-2</v>
      </c>
      <c r="O72" s="10">
        <f>VLOOKUP(M72,PID!A30:B272,2,0)</f>
        <v>0.78</v>
      </c>
      <c r="P72" s="11">
        <f t="shared" si="7"/>
        <v>0</v>
      </c>
      <c r="Q72" s="10">
        <f t="shared" si="2"/>
        <v>0</v>
      </c>
      <c r="R72" s="1062">
        <f t="shared" si="3"/>
        <v>4599.2</v>
      </c>
      <c r="S72" s="1062"/>
      <c r="T72" s="1062">
        <f t="shared" si="4"/>
        <v>6898.8</v>
      </c>
      <c r="U72" s="1062"/>
      <c r="V72" s="12">
        <f t="shared" si="5"/>
        <v>11498</v>
      </c>
      <c r="W72" s="12">
        <f t="shared" si="6"/>
        <v>0</v>
      </c>
      <c r="X72" s="13"/>
      <c r="Y72" s="9"/>
    </row>
    <row r="73" spans="1:26" s="90" customFormat="1" ht="18.75" customHeight="1" x14ac:dyDescent="0.2">
      <c r="A73" s="81"/>
      <c r="B73" s="82"/>
      <c r="C73" s="83"/>
      <c r="D73" s="83"/>
      <c r="E73" s="83"/>
      <c r="F73" s="85">
        <f>SUM(F10:F72)</f>
        <v>568.47</v>
      </c>
      <c r="G73" s="85"/>
      <c r="H73" s="85"/>
      <c r="I73" s="85"/>
      <c r="J73" s="85"/>
      <c r="K73" s="85"/>
      <c r="L73" s="85">
        <f>SUM(L10:L72)</f>
        <v>968.97</v>
      </c>
      <c r="M73" s="84"/>
      <c r="N73" s="84"/>
      <c r="O73" s="85"/>
      <c r="P73" s="84">
        <f>SUM(P10:P72)</f>
        <v>1684.4376000000002</v>
      </c>
      <c r="Q73" s="10">
        <f>SUM(Q10:Q72)</f>
        <v>148.91309000000004</v>
      </c>
      <c r="R73" s="86"/>
      <c r="S73" s="86"/>
      <c r="T73" s="86"/>
      <c r="U73" s="86"/>
      <c r="V73" s="87"/>
      <c r="W73" s="87"/>
      <c r="X73" s="88"/>
      <c r="Y73" s="89"/>
    </row>
    <row r="74" spans="1:26" s="17" customFormat="1" ht="20.100000000000001" hidden="1" customHeight="1" x14ac:dyDescent="0.25">
      <c r="A74" s="1064" t="s">
        <v>23</v>
      </c>
      <c r="B74" s="1064"/>
      <c r="C74" s="1064"/>
      <c r="D74" s="1064"/>
      <c r="E74" s="1064"/>
      <c r="F74" s="1064"/>
      <c r="G74" s="1064"/>
      <c r="H74" s="1064"/>
      <c r="I74" s="1064"/>
      <c r="J74" s="1064"/>
      <c r="K74" s="1064"/>
      <c r="L74" s="1064"/>
      <c r="M74" s="1064"/>
      <c r="N74" s="1064"/>
      <c r="O74" s="1064"/>
      <c r="P74" s="1064"/>
      <c r="Q74" s="1064"/>
      <c r="R74" s="1064"/>
      <c r="S74" s="1064"/>
      <c r="T74" s="1064"/>
      <c r="U74" s="1064"/>
      <c r="V74" s="1064"/>
      <c r="W74" s="14">
        <f>SUM(W10:W72)</f>
        <v>1712202.7088200001</v>
      </c>
      <c r="X74" s="15"/>
      <c r="Y74" s="16"/>
    </row>
    <row r="75" spans="1:26" ht="20.100000000000001" customHeight="1" x14ac:dyDescent="0.3">
      <c r="A75"/>
      <c r="B75" s="111" t="s">
        <v>456</v>
      </c>
      <c r="C75" s="112">
        <v>0.2</v>
      </c>
      <c r="D75" s="1065" t="s">
        <v>457</v>
      </c>
      <c r="E75" s="1065"/>
      <c r="F75" s="1065"/>
      <c r="G75" s="1065"/>
      <c r="H75" s="1065"/>
      <c r="I75" s="1065"/>
      <c r="J75" s="1065"/>
      <c r="K75" s="1065"/>
      <c r="L75" s="1065"/>
      <c r="M75" s="1065"/>
      <c r="N75" s="1065"/>
      <c r="O75" s="1065"/>
      <c r="P75" s="1065"/>
      <c r="Q75" s="1065"/>
      <c r="R75" s="1065"/>
      <c r="S75" s="1065"/>
      <c r="T75" s="1065"/>
      <c r="U75" s="1065"/>
      <c r="V75" s="1065"/>
      <c r="W75" s="113">
        <f>W74*C75</f>
        <v>342440.54176400002</v>
      </c>
      <c r="X75"/>
      <c r="Z75"/>
    </row>
    <row r="76" spans="1:26" x14ac:dyDescent="0.25">
      <c r="A76" s="1066"/>
      <c r="B76" s="1066"/>
      <c r="C76" s="1066"/>
      <c r="D76" s="1066"/>
      <c r="E76" s="1066"/>
      <c r="F76" s="1066"/>
      <c r="G76" s="1066"/>
      <c r="H76" s="1066"/>
      <c r="I76" s="1066"/>
      <c r="J76" s="1066"/>
      <c r="K76" s="1066"/>
      <c r="L76" s="1066"/>
      <c r="M76" s="1066"/>
      <c r="N76" s="1066"/>
      <c r="O76" s="1066"/>
      <c r="P76" s="1066"/>
      <c r="Q76" s="1066"/>
      <c r="R76" s="1066"/>
      <c r="S76" s="1066"/>
      <c r="T76" s="1066"/>
      <c r="U76" s="1066"/>
      <c r="V76" s="1066"/>
      <c r="W76" s="1066"/>
      <c r="X76" s="1066"/>
      <c r="Y76"/>
      <c r="Z76"/>
    </row>
    <row r="77" spans="1:26" ht="15.75" customHeight="1" x14ac:dyDescent="0.25">
      <c r="A77" s="18"/>
      <c r="B77"/>
      <c r="C77"/>
      <c r="D77"/>
      <c r="E77"/>
      <c r="F77"/>
      <c r="G77"/>
      <c r="H77"/>
      <c r="I77"/>
      <c r="J77"/>
      <c r="K77"/>
      <c r="L77" s="150"/>
      <c r="M77"/>
      <c r="N77"/>
      <c r="O77"/>
      <c r="P77"/>
      <c r="Q77"/>
      <c r="R77"/>
      <c r="S77"/>
      <c r="T77"/>
      <c r="U77"/>
      <c r="V77"/>
      <c r="W77"/>
      <c r="X77"/>
      <c r="Y77"/>
      <c r="Z77"/>
    </row>
    <row r="78" spans="1:26" ht="18" customHeight="1" x14ac:dyDescent="0.25">
      <c r="A78" s="1067"/>
      <c r="B78" s="1067"/>
      <c r="C78" s="1067"/>
      <c r="D78" s="1067"/>
      <c r="E78" s="1067"/>
      <c r="F78" s="1067"/>
      <c r="G78" s="1067"/>
      <c r="H78" s="1067"/>
      <c r="I78" s="1067"/>
      <c r="J78" s="1067"/>
      <c r="K78" s="1067"/>
      <c r="L78" s="1067"/>
      <c r="M78" s="1067"/>
      <c r="N78" s="1067"/>
      <c r="O78" s="1067"/>
      <c r="P78" s="1067"/>
      <c r="Q78" s="1067"/>
      <c r="R78" s="1067"/>
      <c r="S78" s="1067"/>
      <c r="T78" s="1067"/>
      <c r="U78" s="1067"/>
      <c r="V78" s="1067"/>
      <c r="W78" s="1067"/>
      <c r="X78" s="1067"/>
      <c r="Y78"/>
      <c r="Z78"/>
    </row>
    <row r="79" spans="1:26" ht="14.25" customHeight="1" x14ac:dyDescent="0.25">
      <c r="A79" s="18"/>
      <c r="B79" s="18"/>
      <c r="C79" s="18"/>
      <c r="D79" s="18"/>
      <c r="E79" s="18"/>
      <c r="F79" s="18"/>
      <c r="G79" s="18"/>
      <c r="H79" s="18"/>
      <c r="I79" s="18"/>
      <c r="J79" s="18"/>
      <c r="K79" s="18"/>
      <c r="L79" s="18"/>
      <c r="M79" s="18"/>
      <c r="N79" s="18"/>
      <c r="O79"/>
      <c r="P79"/>
      <c r="Q79"/>
      <c r="R79"/>
      <c r="S79"/>
      <c r="T79"/>
      <c r="U79"/>
      <c r="V79"/>
      <c r="W79"/>
      <c r="X79"/>
      <c r="Y79"/>
      <c r="Z79"/>
    </row>
    <row r="82" spans="1:5" x14ac:dyDescent="0.25">
      <c r="A82" s="1068"/>
      <c r="B82" s="1068"/>
      <c r="C82" s="1068"/>
      <c r="D82" s="19"/>
      <c r="E82" s="19"/>
    </row>
    <row r="83" spans="1:5" x14ac:dyDescent="0.25">
      <c r="A83" s="1063"/>
      <c r="B83" s="1063"/>
      <c r="C83" s="1063"/>
      <c r="D83" s="20"/>
      <c r="E83" s="20"/>
    </row>
    <row r="84" spans="1:5" x14ac:dyDescent="0.25">
      <c r="A84" s="1063"/>
      <c r="B84" s="1063"/>
      <c r="C84" s="1063"/>
      <c r="D84" s="20"/>
      <c r="E84" s="20"/>
    </row>
    <row r="85" spans="1:5" x14ac:dyDescent="0.25">
      <c r="A85" s="1063"/>
      <c r="B85" s="1063"/>
      <c r="C85" s="1063"/>
      <c r="D85" s="20"/>
      <c r="E85" s="20"/>
    </row>
    <row r="86" spans="1:5" x14ac:dyDescent="0.25">
      <c r="A86" s="1063"/>
      <c r="B86" s="1063"/>
      <c r="C86" s="1063"/>
      <c r="D86" s="20"/>
      <c r="E86" s="20"/>
    </row>
    <row r="87" spans="1:5" x14ac:dyDescent="0.25">
      <c r="A87" s="1063"/>
      <c r="B87" s="1063"/>
      <c r="C87" s="1063"/>
      <c r="D87" s="20"/>
      <c r="E87" s="20"/>
    </row>
    <row r="88" spans="1:5" x14ac:dyDescent="0.25">
      <c r="A88" s="1063"/>
      <c r="B88" s="1063"/>
      <c r="C88" s="1063"/>
      <c r="D88" s="20"/>
      <c r="E88" s="20"/>
    </row>
  </sheetData>
  <sheetProtection selectLockedCells="1" selectUnlockedCells="1"/>
  <autoFilter ref="A7:Y74" xr:uid="{00000000-0009-0000-0000-000012000000}">
    <filterColumn colId="5" showButton="0"/>
    <filterColumn colId="6" showButton="0"/>
    <filterColumn colId="7" showButton="0"/>
    <filterColumn colId="8" showButton="0"/>
    <filterColumn colId="9" showButton="0"/>
    <filterColumn colId="14" showButton="0"/>
    <filterColumn colId="17" showButton="0"/>
    <filterColumn colId="19" showButton="0"/>
  </autoFilter>
  <mergeCells count="159">
    <mergeCell ref="A84:C84"/>
    <mergeCell ref="A85:C85"/>
    <mergeCell ref="A86:C86"/>
    <mergeCell ref="A87:C87"/>
    <mergeCell ref="A88:C88"/>
    <mergeCell ref="A74:V74"/>
    <mergeCell ref="D75:V75"/>
    <mergeCell ref="A76:X76"/>
    <mergeCell ref="A78:X78"/>
    <mergeCell ref="A82:C82"/>
    <mergeCell ref="A83:C83"/>
    <mergeCell ref="R70:S70"/>
    <mergeCell ref="T70:U70"/>
    <mergeCell ref="R71:S71"/>
    <mergeCell ref="T71:U71"/>
    <mergeCell ref="R72:S72"/>
    <mergeCell ref="T72:U72"/>
    <mergeCell ref="R67:S67"/>
    <mergeCell ref="T67:U67"/>
    <mergeCell ref="R68:S68"/>
    <mergeCell ref="T68:U68"/>
    <mergeCell ref="R69:S69"/>
    <mergeCell ref="T69:U69"/>
    <mergeCell ref="R64:S64"/>
    <mergeCell ref="T64:U64"/>
    <mergeCell ref="R65:S65"/>
    <mergeCell ref="T65:U65"/>
    <mergeCell ref="R66:S66"/>
    <mergeCell ref="T66:U66"/>
    <mergeCell ref="R61:S61"/>
    <mergeCell ref="T61:U61"/>
    <mergeCell ref="R62:S62"/>
    <mergeCell ref="T62:U62"/>
    <mergeCell ref="R63:S63"/>
    <mergeCell ref="T63:U63"/>
    <mergeCell ref="R58:S58"/>
    <mergeCell ref="T58:U58"/>
    <mergeCell ref="R59:S59"/>
    <mergeCell ref="T59:U59"/>
    <mergeCell ref="R60:S60"/>
    <mergeCell ref="T60:U60"/>
    <mergeCell ref="R55:S55"/>
    <mergeCell ref="T55:U55"/>
    <mergeCell ref="R56:S56"/>
    <mergeCell ref="T56:U56"/>
    <mergeCell ref="R57:S57"/>
    <mergeCell ref="T57:U57"/>
    <mergeCell ref="R52:S52"/>
    <mergeCell ref="T52:U52"/>
    <mergeCell ref="R53:S53"/>
    <mergeCell ref="T53:U53"/>
    <mergeCell ref="R54:S54"/>
    <mergeCell ref="T54:U54"/>
    <mergeCell ref="R49:S49"/>
    <mergeCell ref="T49:U49"/>
    <mergeCell ref="R50:S50"/>
    <mergeCell ref="T50:U50"/>
    <mergeCell ref="R51:S51"/>
    <mergeCell ref="T51:U51"/>
    <mergeCell ref="R46:S46"/>
    <mergeCell ref="T46:U46"/>
    <mergeCell ref="R47:S47"/>
    <mergeCell ref="T47:U47"/>
    <mergeCell ref="R48:S48"/>
    <mergeCell ref="T48:U48"/>
    <mergeCell ref="R43:S43"/>
    <mergeCell ref="T43:U43"/>
    <mergeCell ref="R44:S44"/>
    <mergeCell ref="T44:U44"/>
    <mergeCell ref="R45:S45"/>
    <mergeCell ref="T45:U45"/>
    <mergeCell ref="R40:S40"/>
    <mergeCell ref="T40:U40"/>
    <mergeCell ref="R41:S41"/>
    <mergeCell ref="T41:U41"/>
    <mergeCell ref="R42:S42"/>
    <mergeCell ref="T42:U42"/>
    <mergeCell ref="R37:S37"/>
    <mergeCell ref="T37:U37"/>
    <mergeCell ref="R38:S38"/>
    <mergeCell ref="T38:U38"/>
    <mergeCell ref="R39:S39"/>
    <mergeCell ref="T39:U39"/>
    <mergeCell ref="R34:S34"/>
    <mergeCell ref="T34:U34"/>
    <mergeCell ref="R35:S35"/>
    <mergeCell ref="T35:U35"/>
    <mergeCell ref="R36:S36"/>
    <mergeCell ref="T36:U36"/>
    <mergeCell ref="R31:S31"/>
    <mergeCell ref="T31:U31"/>
    <mergeCell ref="R32:S32"/>
    <mergeCell ref="T32:U32"/>
    <mergeCell ref="R33:S33"/>
    <mergeCell ref="T33:U33"/>
    <mergeCell ref="R28:S28"/>
    <mergeCell ref="T28:U28"/>
    <mergeCell ref="R29:S29"/>
    <mergeCell ref="T29:U29"/>
    <mergeCell ref="R30:S30"/>
    <mergeCell ref="T30:U30"/>
    <mergeCell ref="R25:S25"/>
    <mergeCell ref="T25:U25"/>
    <mergeCell ref="R26:S26"/>
    <mergeCell ref="T26:U26"/>
    <mergeCell ref="R27:S27"/>
    <mergeCell ref="T27:U27"/>
    <mergeCell ref="R22:S22"/>
    <mergeCell ref="T22:U22"/>
    <mergeCell ref="R23:S23"/>
    <mergeCell ref="T23:U23"/>
    <mergeCell ref="R24:S24"/>
    <mergeCell ref="T24:U24"/>
    <mergeCell ref="R19:S19"/>
    <mergeCell ref="T19:U19"/>
    <mergeCell ref="R20:S20"/>
    <mergeCell ref="T20:U20"/>
    <mergeCell ref="R21:S21"/>
    <mergeCell ref="T21:U21"/>
    <mergeCell ref="R16:S16"/>
    <mergeCell ref="T16:U16"/>
    <mergeCell ref="R17:S17"/>
    <mergeCell ref="T17:U17"/>
    <mergeCell ref="R18:S18"/>
    <mergeCell ref="T18:U18"/>
    <mergeCell ref="R13:S13"/>
    <mergeCell ref="T13:U13"/>
    <mergeCell ref="R14:S14"/>
    <mergeCell ref="T14:U14"/>
    <mergeCell ref="R15:S15"/>
    <mergeCell ref="T15:U15"/>
    <mergeCell ref="R10:S10"/>
    <mergeCell ref="T10:U10"/>
    <mergeCell ref="R11:S11"/>
    <mergeCell ref="T11:U11"/>
    <mergeCell ref="R12:S12"/>
    <mergeCell ref="T12:U12"/>
    <mergeCell ref="F8:F9"/>
    <mergeCell ref="G8:G9"/>
    <mergeCell ref="H8:H9"/>
    <mergeCell ref="I8:I9"/>
    <mergeCell ref="J8:J9"/>
    <mergeCell ref="K8:K9"/>
    <mergeCell ref="R7:S9"/>
    <mergeCell ref="T7:U9"/>
    <mergeCell ref="V7:V9"/>
    <mergeCell ref="W7:W9"/>
    <mergeCell ref="X7:X9"/>
    <mergeCell ref="Y7:Y9"/>
    <mergeCell ref="A1:B3"/>
    <mergeCell ref="C1:X3"/>
    <mergeCell ref="Y1:Y3"/>
    <mergeCell ref="A7:A9"/>
    <mergeCell ref="B7:B9"/>
    <mergeCell ref="C7:C9"/>
    <mergeCell ref="D7:D9"/>
    <mergeCell ref="E7:E9"/>
    <mergeCell ref="F7:K7"/>
    <mergeCell ref="O7:Q7"/>
  </mergeCells>
  <printOptions horizontalCentered="1"/>
  <pageMargins left="0.19652777777777777" right="0.27569444444444446" top="0.35416666666666669" bottom="0.15763888888888888" header="0.51180555555555551" footer="0.51180555555555551"/>
  <pageSetup paperSize="9" scale="53" firstPageNumber="0" orientation="landscape"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0000000}">
          <x14:formula1>
            <xm:f>esp!$A$2:$A$10</xm:f>
          </x14:formula1>
          <xm:sqref>N10:N72</xm:sqref>
        </x14:dataValidation>
        <x14:dataValidation type="list" allowBlank="1" showInputMessage="1" showErrorMessage="1" xr:uid="{00000000-0002-0000-1200-000001000000}">
          <x14:formula1>
            <xm:f>PID!$A$5:$A$247</xm:f>
          </x14:formula1>
          <xm:sqref>M10:M72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8">
    <tabColor rgb="FF92D050"/>
    <pageSetUpPr fitToPage="1"/>
  </sheetPr>
  <dimension ref="B1:AW56"/>
  <sheetViews>
    <sheetView showGridLines="0" view="pageBreakPreview" topLeftCell="B16" zoomScaleNormal="100" zoomScaleSheetLayoutView="100" workbookViewId="0">
      <selection activeCell="AE5" sqref="AE5"/>
    </sheetView>
  </sheetViews>
  <sheetFormatPr defaultColWidth="8.88671875" defaultRowHeight="13.2" x14ac:dyDescent="0.25"/>
  <cols>
    <col min="1" max="1" width="9.109375" style="114"/>
    <col min="2" max="28" width="2.6640625" style="114" customWidth="1"/>
    <col min="29" max="31" width="4.6640625" style="114" customWidth="1"/>
    <col min="32" max="42" width="2.6640625" style="114" customWidth="1"/>
    <col min="43" max="43" width="6" style="114" customWidth="1"/>
    <col min="44" max="257" width="9.109375" style="114"/>
    <col min="258" max="299" width="2.6640625" style="114" customWidth="1"/>
    <col min="300" max="513" width="9.109375" style="114"/>
    <col min="514" max="555" width="2.6640625" style="114" customWidth="1"/>
    <col min="556" max="769" width="9.109375" style="114"/>
    <col min="770" max="811" width="2.6640625" style="114" customWidth="1"/>
    <col min="812" max="1025" width="9.109375" style="114"/>
    <col min="1026" max="1067" width="2.6640625" style="114" customWidth="1"/>
    <col min="1068" max="1281" width="9.109375" style="114"/>
    <col min="1282" max="1323" width="2.6640625" style="114" customWidth="1"/>
    <col min="1324" max="1537" width="9.109375" style="114"/>
    <col min="1538" max="1579" width="2.6640625" style="114" customWidth="1"/>
    <col min="1580" max="1793" width="9.109375" style="114"/>
    <col min="1794" max="1835" width="2.6640625" style="114" customWidth="1"/>
    <col min="1836" max="2049" width="9.109375" style="114"/>
    <col min="2050" max="2091" width="2.6640625" style="114" customWidth="1"/>
    <col min="2092" max="2305" width="9.109375" style="114"/>
    <col min="2306" max="2347" width="2.6640625" style="114" customWidth="1"/>
    <col min="2348" max="2561" width="9.109375" style="114"/>
    <col min="2562" max="2603" width="2.6640625" style="114" customWidth="1"/>
    <col min="2604" max="2817" width="9.109375" style="114"/>
    <col min="2818" max="2859" width="2.6640625" style="114" customWidth="1"/>
    <col min="2860" max="3073" width="9.109375" style="114"/>
    <col min="3074" max="3115" width="2.6640625" style="114" customWidth="1"/>
    <col min="3116" max="3329" width="9.109375" style="114"/>
    <col min="3330" max="3371" width="2.6640625" style="114" customWidth="1"/>
    <col min="3372" max="3585" width="9.109375" style="114"/>
    <col min="3586" max="3627" width="2.6640625" style="114" customWidth="1"/>
    <col min="3628" max="3841" width="9.109375" style="114"/>
    <col min="3842" max="3883" width="2.6640625" style="114" customWidth="1"/>
    <col min="3884" max="4097" width="9.109375" style="114"/>
    <col min="4098" max="4139" width="2.6640625" style="114" customWidth="1"/>
    <col min="4140" max="4353" width="9.109375" style="114"/>
    <col min="4354" max="4395" width="2.6640625" style="114" customWidth="1"/>
    <col min="4396" max="4609" width="9.109375" style="114"/>
    <col min="4610" max="4651" width="2.6640625" style="114" customWidth="1"/>
    <col min="4652" max="4865" width="9.109375" style="114"/>
    <col min="4866" max="4907" width="2.6640625" style="114" customWidth="1"/>
    <col min="4908" max="5121" width="9.109375" style="114"/>
    <col min="5122" max="5163" width="2.6640625" style="114" customWidth="1"/>
    <col min="5164" max="5377" width="9.109375" style="114"/>
    <col min="5378" max="5419" width="2.6640625" style="114" customWidth="1"/>
    <col min="5420" max="5633" width="9.109375" style="114"/>
    <col min="5634" max="5675" width="2.6640625" style="114" customWidth="1"/>
    <col min="5676" max="5889" width="9.109375" style="114"/>
    <col min="5890" max="5931" width="2.6640625" style="114" customWidth="1"/>
    <col min="5932" max="6145" width="9.109375" style="114"/>
    <col min="6146" max="6187" width="2.6640625" style="114" customWidth="1"/>
    <col min="6188" max="6401" width="9.109375" style="114"/>
    <col min="6402" max="6443" width="2.6640625" style="114" customWidth="1"/>
    <col min="6444" max="6657" width="9.109375" style="114"/>
    <col min="6658" max="6699" width="2.6640625" style="114" customWidth="1"/>
    <col min="6700" max="6913" width="9.109375" style="114"/>
    <col min="6914" max="6955" width="2.6640625" style="114" customWidth="1"/>
    <col min="6956" max="7169" width="9.109375" style="114"/>
    <col min="7170" max="7211" width="2.6640625" style="114" customWidth="1"/>
    <col min="7212" max="7425" width="9.109375" style="114"/>
    <col min="7426" max="7467" width="2.6640625" style="114" customWidth="1"/>
    <col min="7468" max="7681" width="9.109375" style="114"/>
    <col min="7682" max="7723" width="2.6640625" style="114" customWidth="1"/>
    <col min="7724" max="7937" width="9.109375" style="114"/>
    <col min="7938" max="7979" width="2.6640625" style="114" customWidth="1"/>
    <col min="7980" max="8193" width="9.109375" style="114"/>
    <col min="8194" max="8235" width="2.6640625" style="114" customWidth="1"/>
    <col min="8236" max="8449" width="9.109375" style="114"/>
    <col min="8450" max="8491" width="2.6640625" style="114" customWidth="1"/>
    <col min="8492" max="8705" width="9.109375" style="114"/>
    <col min="8706" max="8747" width="2.6640625" style="114" customWidth="1"/>
    <col min="8748" max="8961" width="9.109375" style="114"/>
    <col min="8962" max="9003" width="2.6640625" style="114" customWidth="1"/>
    <col min="9004" max="9217" width="9.109375" style="114"/>
    <col min="9218" max="9259" width="2.6640625" style="114" customWidth="1"/>
    <col min="9260" max="9473" width="9.109375" style="114"/>
    <col min="9474" max="9515" width="2.6640625" style="114" customWidth="1"/>
    <col min="9516" max="9729" width="9.109375" style="114"/>
    <col min="9730" max="9771" width="2.6640625" style="114" customWidth="1"/>
    <col min="9772" max="9985" width="9.109375" style="114"/>
    <col min="9986" max="10027" width="2.6640625" style="114" customWidth="1"/>
    <col min="10028" max="10241" width="9.109375" style="114"/>
    <col min="10242" max="10283" width="2.6640625" style="114" customWidth="1"/>
    <col min="10284" max="10497" width="9.109375" style="114"/>
    <col min="10498" max="10539" width="2.6640625" style="114" customWidth="1"/>
    <col min="10540" max="10753" width="9.109375" style="114"/>
    <col min="10754" max="10795" width="2.6640625" style="114" customWidth="1"/>
    <col min="10796" max="11009" width="9.109375" style="114"/>
    <col min="11010" max="11051" width="2.6640625" style="114" customWidth="1"/>
    <col min="11052" max="11265" width="9.109375" style="114"/>
    <col min="11266" max="11307" width="2.6640625" style="114" customWidth="1"/>
    <col min="11308" max="11521" width="9.109375" style="114"/>
    <col min="11522" max="11563" width="2.6640625" style="114" customWidth="1"/>
    <col min="11564" max="11777" width="9.109375" style="114"/>
    <col min="11778" max="11819" width="2.6640625" style="114" customWidth="1"/>
    <col min="11820" max="12033" width="9.109375" style="114"/>
    <col min="12034" max="12075" width="2.6640625" style="114" customWidth="1"/>
    <col min="12076" max="12289" width="9.109375" style="114"/>
    <col min="12290" max="12331" width="2.6640625" style="114" customWidth="1"/>
    <col min="12332" max="12545" width="9.109375" style="114"/>
    <col min="12546" max="12587" width="2.6640625" style="114" customWidth="1"/>
    <col min="12588" max="12801" width="9.109375" style="114"/>
    <col min="12802" max="12843" width="2.6640625" style="114" customWidth="1"/>
    <col min="12844" max="13057" width="9.109375" style="114"/>
    <col min="13058" max="13099" width="2.6640625" style="114" customWidth="1"/>
    <col min="13100" max="13313" width="9.109375" style="114"/>
    <col min="13314" max="13355" width="2.6640625" style="114" customWidth="1"/>
    <col min="13356" max="13569" width="9.109375" style="114"/>
    <col min="13570" max="13611" width="2.6640625" style="114" customWidth="1"/>
    <col min="13612" max="13825" width="9.109375" style="114"/>
    <col min="13826" max="13867" width="2.6640625" style="114" customWidth="1"/>
    <col min="13868" max="14081" width="9.109375" style="114"/>
    <col min="14082" max="14123" width="2.6640625" style="114" customWidth="1"/>
    <col min="14124" max="14337" width="9.109375" style="114"/>
    <col min="14338" max="14379" width="2.6640625" style="114" customWidth="1"/>
    <col min="14380" max="14593" width="9.109375" style="114"/>
    <col min="14594" max="14635" width="2.6640625" style="114" customWidth="1"/>
    <col min="14636" max="14849" width="9.109375" style="114"/>
    <col min="14850" max="14891" width="2.6640625" style="114" customWidth="1"/>
    <col min="14892" max="15105" width="9.109375" style="114"/>
    <col min="15106" max="15147" width="2.6640625" style="114" customWidth="1"/>
    <col min="15148" max="15361" width="9.109375" style="114"/>
    <col min="15362" max="15403" width="2.6640625" style="114" customWidth="1"/>
    <col min="15404" max="15617" width="9.109375" style="114"/>
    <col min="15618" max="15659" width="2.6640625" style="114" customWidth="1"/>
    <col min="15660" max="15873" width="9.109375" style="114"/>
    <col min="15874" max="15915" width="2.6640625" style="114" customWidth="1"/>
    <col min="15916" max="16129" width="9.109375" style="114"/>
    <col min="16130" max="16171" width="2.6640625" style="114" customWidth="1"/>
    <col min="16172" max="16384" width="9.109375" style="114"/>
  </cols>
  <sheetData>
    <row r="1" spans="2:44" ht="45" customHeight="1" x14ac:dyDescent="0.3">
      <c r="B1" s="776"/>
      <c r="C1" s="776"/>
      <c r="D1" s="776"/>
      <c r="E1" s="776"/>
      <c r="F1" s="776"/>
      <c r="G1" s="776"/>
      <c r="H1" s="776"/>
      <c r="I1" s="776"/>
      <c r="J1" s="777" t="s">
        <v>500</v>
      </c>
      <c r="K1" s="778"/>
      <c r="L1" s="778"/>
      <c r="M1" s="778"/>
      <c r="N1" s="778"/>
      <c r="O1" s="778"/>
      <c r="P1" s="778"/>
      <c r="Q1" s="778"/>
      <c r="R1" s="778"/>
      <c r="S1" s="778"/>
      <c r="T1" s="778"/>
      <c r="U1" s="778"/>
      <c r="V1" s="778"/>
      <c r="W1" s="778"/>
      <c r="X1" s="778"/>
      <c r="Y1" s="778"/>
      <c r="Z1" s="778"/>
      <c r="AA1" s="778"/>
      <c r="AB1" s="778"/>
      <c r="AC1" s="778"/>
      <c r="AD1" s="778"/>
      <c r="AE1" s="778"/>
      <c r="AF1" s="778"/>
      <c r="AG1" s="778"/>
      <c r="AH1" s="778"/>
      <c r="AI1" s="778"/>
      <c r="AJ1" s="778"/>
      <c r="AK1" s="778"/>
      <c r="AL1" s="778"/>
      <c r="AM1" s="778"/>
      <c r="AN1" s="778"/>
      <c r="AO1" s="778"/>
      <c r="AP1" s="778"/>
      <c r="AQ1" s="779"/>
    </row>
    <row r="2" spans="2:44" ht="7.5" customHeight="1" x14ac:dyDescent="0.3">
      <c r="B2" s="115"/>
      <c r="C2" s="115"/>
      <c r="D2" s="115"/>
      <c r="E2" s="115"/>
      <c r="F2" s="115"/>
      <c r="G2" s="115"/>
      <c r="H2" s="115"/>
      <c r="I2" s="115"/>
      <c r="J2" s="115"/>
      <c r="K2" s="115"/>
      <c r="L2" s="115"/>
      <c r="M2" s="115"/>
      <c r="N2" s="115"/>
      <c r="O2" s="115"/>
      <c r="P2" s="115"/>
      <c r="Q2" s="115"/>
      <c r="R2" s="115"/>
      <c r="S2" s="115"/>
      <c r="T2" s="115"/>
      <c r="U2" s="115"/>
      <c r="V2" s="115"/>
      <c r="W2" s="115"/>
      <c r="X2" s="115"/>
      <c r="Y2" s="115"/>
      <c r="Z2" s="116"/>
      <c r="AA2" s="116"/>
      <c r="AB2" s="116"/>
      <c r="AC2" s="116"/>
      <c r="AD2" s="116"/>
      <c r="AE2" s="116"/>
      <c r="AF2" s="116"/>
      <c r="AG2" s="116"/>
      <c r="AH2" s="116"/>
      <c r="AI2" s="116"/>
      <c r="AJ2" s="116"/>
      <c r="AK2" s="116"/>
      <c r="AL2" s="116"/>
      <c r="AM2" s="116"/>
      <c r="AN2" s="116"/>
      <c r="AO2" s="116"/>
      <c r="AP2" s="116"/>
      <c r="AQ2" s="116"/>
    </row>
    <row r="3" spans="2:44" ht="15" customHeight="1" x14ac:dyDescent="0.25">
      <c r="B3" s="780" t="s">
        <v>501</v>
      </c>
      <c r="C3" s="781"/>
      <c r="D3" s="781"/>
      <c r="E3" s="781"/>
      <c r="F3" s="781"/>
      <c r="G3" s="781"/>
      <c r="H3" s="781"/>
      <c r="I3" s="781"/>
      <c r="J3" s="781"/>
      <c r="K3" s="781"/>
      <c r="L3" s="781"/>
      <c r="M3" s="782"/>
      <c r="N3" s="786" t="s">
        <v>502</v>
      </c>
      <c r="O3" s="786"/>
      <c r="P3" s="786"/>
      <c r="Q3" s="786"/>
      <c r="R3" s="786"/>
      <c r="S3" s="786"/>
      <c r="T3" s="786"/>
      <c r="U3" s="786"/>
      <c r="V3" s="786"/>
      <c r="W3" s="786"/>
      <c r="X3" s="786"/>
      <c r="Y3" s="786"/>
      <c r="AA3" s="117"/>
      <c r="AB3" s="117"/>
      <c r="AC3" s="117"/>
      <c r="AD3" s="117"/>
      <c r="AE3" s="117"/>
      <c r="AF3" s="117"/>
      <c r="AG3" s="117"/>
      <c r="AH3" s="117"/>
      <c r="AI3" s="117"/>
      <c r="AJ3" s="117"/>
      <c r="AK3" s="117"/>
      <c r="AL3" s="117"/>
      <c r="AM3" s="117"/>
      <c r="AN3" s="117"/>
      <c r="AO3" s="117"/>
      <c r="AP3" s="117"/>
      <c r="AQ3" s="117"/>
    </row>
    <row r="4" spans="2:44" ht="15" customHeight="1" x14ac:dyDescent="0.25">
      <c r="B4" s="783"/>
      <c r="C4" s="784"/>
      <c r="D4" s="784"/>
      <c r="E4" s="784"/>
      <c r="F4" s="784"/>
      <c r="G4" s="784"/>
      <c r="H4" s="784"/>
      <c r="I4" s="784"/>
      <c r="J4" s="784"/>
      <c r="K4" s="784"/>
      <c r="L4" s="784"/>
      <c r="M4" s="785"/>
      <c r="N4" s="786"/>
      <c r="O4" s="786"/>
      <c r="P4" s="786"/>
      <c r="Q4" s="786"/>
      <c r="R4" s="786"/>
      <c r="S4" s="786"/>
      <c r="T4" s="786"/>
      <c r="U4" s="786"/>
      <c r="V4" s="786"/>
      <c r="W4" s="786"/>
      <c r="X4" s="786"/>
      <c r="Y4" s="786"/>
      <c r="AA4" s="117"/>
      <c r="AB4" s="117"/>
      <c r="AC4" s="117"/>
      <c r="AD4" s="117"/>
      <c r="AE4" s="117"/>
      <c r="AF4" s="117"/>
      <c r="AG4" s="117"/>
      <c r="AH4" s="117"/>
      <c r="AI4" s="117"/>
      <c r="AJ4" s="117"/>
      <c r="AK4" s="117"/>
      <c r="AL4" s="117"/>
      <c r="AM4" s="117"/>
      <c r="AN4" s="117"/>
      <c r="AO4" s="117"/>
      <c r="AP4" s="117"/>
      <c r="AQ4" s="117"/>
    </row>
    <row r="5" spans="2:44" ht="15" customHeight="1" x14ac:dyDescent="0.25">
      <c r="B5" s="787">
        <v>18</v>
      </c>
      <c r="C5" s="788"/>
      <c r="D5" s="788"/>
      <c r="E5" s="788"/>
      <c r="F5" s="788"/>
      <c r="G5" s="788"/>
      <c r="H5" s="788"/>
      <c r="I5" s="788"/>
      <c r="J5" s="788"/>
      <c r="K5" s="788"/>
      <c r="L5" s="788"/>
      <c r="M5" s="789"/>
      <c r="N5" s="793">
        <v>45068</v>
      </c>
      <c r="O5" s="794"/>
      <c r="P5" s="794"/>
      <c r="Q5" s="794"/>
      <c r="R5" s="794"/>
      <c r="S5" s="794"/>
      <c r="T5" s="794"/>
      <c r="U5" s="794"/>
      <c r="V5" s="794"/>
      <c r="W5" s="794"/>
      <c r="X5" s="794"/>
      <c r="Y5" s="795"/>
      <c r="AA5" s="117"/>
      <c r="AB5" s="117"/>
      <c r="AC5" s="117"/>
      <c r="AD5" s="117"/>
      <c r="AE5" s="117"/>
      <c r="AF5" s="117"/>
      <c r="AG5" s="117"/>
      <c r="AH5" s="117"/>
      <c r="AI5" s="117"/>
      <c r="AJ5" s="117"/>
      <c r="AK5" s="117"/>
      <c r="AL5" s="117"/>
      <c r="AM5" s="117"/>
      <c r="AN5" s="117"/>
      <c r="AO5" s="117"/>
      <c r="AP5" s="117"/>
      <c r="AQ5" s="117"/>
    </row>
    <row r="6" spans="2:44" ht="15" customHeight="1" x14ac:dyDescent="0.25">
      <c r="B6" s="790"/>
      <c r="C6" s="791"/>
      <c r="D6" s="791"/>
      <c r="E6" s="791"/>
      <c r="F6" s="791"/>
      <c r="G6" s="791"/>
      <c r="H6" s="791"/>
      <c r="I6" s="791"/>
      <c r="J6" s="791"/>
      <c r="K6" s="791"/>
      <c r="L6" s="791"/>
      <c r="M6" s="792"/>
      <c r="N6" s="796"/>
      <c r="O6" s="797"/>
      <c r="P6" s="797"/>
      <c r="Q6" s="797"/>
      <c r="R6" s="797"/>
      <c r="S6" s="797"/>
      <c r="T6" s="797"/>
      <c r="U6" s="797"/>
      <c r="V6" s="797"/>
      <c r="W6" s="797"/>
      <c r="X6" s="797"/>
      <c r="Y6" s="798"/>
      <c r="AA6" s="117"/>
      <c r="AB6" s="117"/>
      <c r="AC6" s="117"/>
      <c r="AD6" s="117"/>
      <c r="AE6" s="117"/>
      <c r="AF6" s="117"/>
      <c r="AG6" s="117"/>
      <c r="AH6" s="117"/>
      <c r="AI6" s="117"/>
      <c r="AJ6" s="117"/>
      <c r="AK6" s="117"/>
      <c r="AL6" s="117"/>
      <c r="AM6" s="117"/>
      <c r="AN6" s="117"/>
      <c r="AO6" s="117"/>
      <c r="AP6" s="117"/>
      <c r="AQ6" s="117"/>
    </row>
    <row r="7" spans="2:44" ht="6.75" customHeight="1" x14ac:dyDescent="0.25">
      <c r="B7" s="118"/>
      <c r="C7" s="118"/>
      <c r="D7" s="118"/>
      <c r="E7" s="118"/>
      <c r="F7" s="119"/>
      <c r="G7" s="119"/>
      <c r="N7" s="120"/>
    </row>
    <row r="8" spans="2:44" ht="19.5" customHeight="1" x14ac:dyDescent="0.25">
      <c r="B8" s="801" t="s">
        <v>503</v>
      </c>
      <c r="C8" s="801"/>
      <c r="D8" s="801"/>
      <c r="E8" s="801"/>
      <c r="F8" s="801"/>
      <c r="G8" s="806" t="s">
        <v>504</v>
      </c>
      <c r="H8" s="806"/>
      <c r="I8" s="806"/>
      <c r="J8" s="806"/>
      <c r="K8" s="806"/>
      <c r="L8" s="806"/>
      <c r="M8" s="806"/>
      <c r="N8" s="806"/>
      <c r="O8" s="806"/>
      <c r="P8" s="806"/>
      <c r="Q8" s="806"/>
      <c r="R8" s="806"/>
      <c r="S8" s="806"/>
      <c r="T8" s="806"/>
      <c r="U8" s="806"/>
      <c r="V8" s="806"/>
      <c r="W8" s="806"/>
      <c r="X8" s="806"/>
      <c r="Y8" s="806"/>
      <c r="Z8" s="806"/>
      <c r="AA8" s="806"/>
      <c r="AB8" s="806"/>
      <c r="AC8" s="806"/>
      <c r="AD8" s="806"/>
      <c r="AE8" s="806"/>
      <c r="AF8" s="806"/>
      <c r="AG8" s="806"/>
      <c r="AH8" s="806"/>
      <c r="AI8" s="806"/>
      <c r="AJ8" s="806"/>
      <c r="AK8" s="806"/>
      <c r="AL8" s="806"/>
      <c r="AM8" s="806"/>
      <c r="AN8" s="806"/>
      <c r="AO8" s="806"/>
      <c r="AP8" s="806"/>
      <c r="AQ8" s="806"/>
    </row>
    <row r="9" spans="2:44" ht="19.5" customHeight="1" x14ac:dyDescent="0.25">
      <c r="B9" s="801" t="s">
        <v>505</v>
      </c>
      <c r="C9" s="801"/>
      <c r="D9" s="801"/>
      <c r="E9" s="801"/>
      <c r="F9" s="801"/>
      <c r="G9" s="800"/>
      <c r="H9" s="800"/>
      <c r="I9" s="800"/>
      <c r="J9" s="800"/>
      <c r="K9" s="800"/>
      <c r="L9" s="800"/>
      <c r="M9" s="801" t="s">
        <v>506</v>
      </c>
      <c r="N9" s="801"/>
      <c r="O9" s="800"/>
      <c r="P9" s="800"/>
      <c r="Q9" s="800"/>
      <c r="R9" s="800"/>
      <c r="S9" s="800"/>
      <c r="T9" s="800"/>
      <c r="U9" s="800"/>
      <c r="V9" s="800"/>
      <c r="W9" s="801" t="s">
        <v>507</v>
      </c>
      <c r="X9" s="801"/>
      <c r="Y9" s="801"/>
      <c r="Z9" s="807" t="s">
        <v>508</v>
      </c>
      <c r="AA9" s="808"/>
      <c r="AB9" s="808"/>
      <c r="AC9" s="808"/>
      <c r="AD9" s="808"/>
      <c r="AE9" s="808"/>
      <c r="AF9" s="808"/>
      <c r="AG9" s="808"/>
      <c r="AH9" s="808"/>
      <c r="AI9" s="808"/>
      <c r="AJ9" s="808"/>
      <c r="AK9" s="808"/>
      <c r="AL9" s="808"/>
      <c r="AM9" s="808"/>
      <c r="AN9" s="808"/>
      <c r="AO9" s="808"/>
      <c r="AP9" s="808"/>
      <c r="AQ9" s="808"/>
    </row>
    <row r="10" spans="2:44" ht="19.5" customHeight="1" x14ac:dyDescent="0.25">
      <c r="B10" s="799" t="s">
        <v>509</v>
      </c>
      <c r="C10" s="799"/>
      <c r="D10" s="799"/>
      <c r="E10" s="799"/>
      <c r="F10" s="799"/>
      <c r="G10" s="800" t="s">
        <v>510</v>
      </c>
      <c r="H10" s="800"/>
      <c r="I10" s="800"/>
      <c r="J10" s="800"/>
      <c r="K10" s="800"/>
      <c r="L10" s="800"/>
      <c r="M10" s="800"/>
      <c r="N10" s="800"/>
      <c r="O10" s="800"/>
      <c r="P10" s="800"/>
      <c r="Q10" s="800"/>
      <c r="R10" s="800"/>
      <c r="S10" s="800"/>
      <c r="T10" s="800"/>
      <c r="U10" s="800"/>
      <c r="V10" s="800"/>
      <c r="W10" s="801" t="s">
        <v>511</v>
      </c>
      <c r="X10" s="801"/>
      <c r="Y10" s="801"/>
      <c r="Z10" s="800"/>
      <c r="AA10" s="800"/>
      <c r="AB10" s="800"/>
      <c r="AC10" s="800"/>
      <c r="AD10" s="800"/>
      <c r="AE10" s="800"/>
      <c r="AF10" s="800"/>
      <c r="AG10" s="800"/>
      <c r="AH10" s="800"/>
      <c r="AI10" s="800"/>
      <c r="AJ10" s="800"/>
      <c r="AK10" s="800"/>
      <c r="AL10" s="800"/>
      <c r="AM10" s="800"/>
      <c r="AN10" s="800"/>
      <c r="AO10" s="800"/>
      <c r="AP10" s="800"/>
      <c r="AQ10" s="800"/>
    </row>
    <row r="11" spans="2:44" ht="5.25" customHeight="1" x14ac:dyDescent="0.25"/>
    <row r="12" spans="2:44" hidden="1" x14ac:dyDescent="0.25">
      <c r="B12" s="121"/>
    </row>
    <row r="13" spans="2:44" ht="45.75" customHeight="1" x14ac:dyDescent="0.25">
      <c r="B13" s="802" t="s">
        <v>512</v>
      </c>
      <c r="C13" s="803"/>
      <c r="D13" s="803"/>
      <c r="E13" s="803"/>
      <c r="F13" s="803"/>
      <c r="G13" s="803"/>
      <c r="H13" s="803"/>
      <c r="I13" s="804" t="s">
        <v>538</v>
      </c>
      <c r="J13" s="804"/>
      <c r="K13" s="804"/>
      <c r="L13" s="804"/>
      <c r="M13" s="804"/>
      <c r="N13" s="804"/>
      <c r="O13" s="804"/>
      <c r="P13" s="804"/>
      <c r="Q13" s="804"/>
      <c r="R13" s="804"/>
      <c r="S13" s="804"/>
      <c r="T13" s="804"/>
      <c r="U13" s="804"/>
      <c r="V13" s="804"/>
      <c r="W13" s="804"/>
      <c r="X13" s="804"/>
      <c r="Y13" s="804"/>
      <c r="Z13" s="804"/>
      <c r="AA13" s="804"/>
      <c r="AB13" s="804"/>
      <c r="AC13" s="804"/>
      <c r="AD13" s="804"/>
      <c r="AE13" s="804"/>
      <c r="AF13" s="804"/>
      <c r="AG13" s="804"/>
      <c r="AH13" s="804"/>
      <c r="AI13" s="804"/>
      <c r="AJ13" s="804"/>
      <c r="AK13" s="804"/>
      <c r="AL13" s="804"/>
      <c r="AM13" s="804"/>
      <c r="AN13" s="804"/>
      <c r="AO13" s="804"/>
      <c r="AP13" s="804"/>
      <c r="AQ13" s="805"/>
    </row>
    <row r="14" spans="2:44" ht="4.5" customHeight="1" x14ac:dyDescent="0.25">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row>
    <row r="15" spans="2:44" ht="13.8" x14ac:dyDescent="0.25">
      <c r="B15" s="809" t="s">
        <v>513</v>
      </c>
      <c r="C15" s="810"/>
      <c r="D15" s="811"/>
      <c r="E15" s="809" t="s">
        <v>514</v>
      </c>
      <c r="F15" s="810"/>
      <c r="G15" s="811"/>
      <c r="H15" s="809" t="s">
        <v>515</v>
      </c>
      <c r="I15" s="810"/>
      <c r="J15" s="810"/>
      <c r="K15" s="810"/>
      <c r="L15" s="810"/>
      <c r="M15" s="810"/>
      <c r="N15" s="810"/>
      <c r="O15" s="810"/>
      <c r="P15" s="810"/>
      <c r="Q15" s="810"/>
      <c r="R15" s="810"/>
      <c r="S15" s="810"/>
      <c r="T15" s="810"/>
      <c r="U15" s="810"/>
      <c r="V15" s="810"/>
      <c r="W15" s="810"/>
      <c r="X15" s="810"/>
      <c r="Y15" s="811"/>
      <c r="Z15" s="809" t="s">
        <v>516</v>
      </c>
      <c r="AA15" s="810"/>
      <c r="AB15" s="811"/>
      <c r="AC15" s="809" t="s">
        <v>517</v>
      </c>
      <c r="AD15" s="810"/>
      <c r="AE15" s="811"/>
      <c r="AF15" s="809" t="s">
        <v>518</v>
      </c>
      <c r="AG15" s="810"/>
      <c r="AH15" s="810"/>
      <c r="AI15" s="810"/>
      <c r="AJ15" s="810"/>
      <c r="AK15" s="811"/>
      <c r="AL15" s="809" t="s">
        <v>519</v>
      </c>
      <c r="AM15" s="810"/>
      <c r="AN15" s="810"/>
      <c r="AO15" s="810"/>
      <c r="AP15" s="810"/>
      <c r="AQ15" s="811"/>
    </row>
    <row r="16" spans="2:44" ht="35.25" customHeight="1" x14ac:dyDescent="0.25">
      <c r="B16" s="126" t="s">
        <v>339</v>
      </c>
      <c r="C16" s="812" t="s">
        <v>520</v>
      </c>
      <c r="D16" s="813"/>
      <c r="E16" s="812" t="s">
        <v>521</v>
      </c>
      <c r="F16" s="814"/>
      <c r="G16" s="813"/>
      <c r="H16" s="815" t="s">
        <v>543</v>
      </c>
      <c r="I16" s="816"/>
      <c r="J16" s="816"/>
      <c r="K16" s="816"/>
      <c r="L16" s="816"/>
      <c r="M16" s="816"/>
      <c r="N16" s="816"/>
      <c r="O16" s="816"/>
      <c r="P16" s="816"/>
      <c r="Q16" s="816"/>
      <c r="R16" s="816"/>
      <c r="S16" s="816"/>
      <c r="T16" s="816"/>
      <c r="U16" s="816"/>
      <c r="V16" s="816"/>
      <c r="W16" s="816"/>
      <c r="X16" s="816"/>
      <c r="Y16" s="817"/>
      <c r="Z16" s="818" t="s">
        <v>591</v>
      </c>
      <c r="AA16" s="819"/>
      <c r="AB16" s="820"/>
      <c r="AC16" s="821" t="e">
        <f>#REF!</f>
        <v>#REF!</v>
      </c>
      <c r="AD16" s="822"/>
      <c r="AE16" s="823"/>
      <c r="AF16" s="824">
        <v>10800</v>
      </c>
      <c r="AG16" s="825"/>
      <c r="AH16" s="825"/>
      <c r="AI16" s="825"/>
      <c r="AJ16" s="825"/>
      <c r="AK16" s="826"/>
      <c r="AL16" s="827" t="e">
        <f>AC16*AF16</f>
        <v>#REF!</v>
      </c>
      <c r="AM16" s="828"/>
      <c r="AN16" s="828"/>
      <c r="AO16" s="828"/>
      <c r="AP16" s="828"/>
      <c r="AQ16" s="829"/>
      <c r="AR16" s="127"/>
    </row>
    <row r="17" spans="2:44" ht="27" customHeight="1" x14ac:dyDescent="0.25">
      <c r="B17" s="126" t="s">
        <v>340</v>
      </c>
      <c r="C17" s="812" t="s">
        <v>520</v>
      </c>
      <c r="D17" s="813"/>
      <c r="E17" s="812" t="s">
        <v>521</v>
      </c>
      <c r="F17" s="814"/>
      <c r="G17" s="813"/>
      <c r="H17" s="815" t="s">
        <v>592</v>
      </c>
      <c r="I17" s="816"/>
      <c r="J17" s="816"/>
      <c r="K17" s="816"/>
      <c r="L17" s="816"/>
      <c r="M17" s="816"/>
      <c r="N17" s="816"/>
      <c r="O17" s="816"/>
      <c r="P17" s="816"/>
      <c r="Q17" s="816"/>
      <c r="R17" s="816"/>
      <c r="S17" s="816"/>
      <c r="T17" s="816"/>
      <c r="U17" s="816"/>
      <c r="V17" s="816"/>
      <c r="W17" s="816"/>
      <c r="X17" s="816"/>
      <c r="Y17" s="817"/>
      <c r="Z17" s="818" t="s">
        <v>591</v>
      </c>
      <c r="AA17" s="819"/>
      <c r="AB17" s="820"/>
      <c r="AC17" s="821" t="e">
        <f>#REF!</f>
        <v>#REF!</v>
      </c>
      <c r="AD17" s="822"/>
      <c r="AE17" s="823"/>
      <c r="AF17" s="824">
        <f>'LINHAS anterior'!S18</f>
        <v>1500</v>
      </c>
      <c r="AG17" s="825"/>
      <c r="AH17" s="825"/>
      <c r="AI17" s="825"/>
      <c r="AJ17" s="825"/>
      <c r="AK17" s="826"/>
      <c r="AL17" s="827" t="e">
        <f>AC17*AF17</f>
        <v>#REF!</v>
      </c>
      <c r="AM17" s="828"/>
      <c r="AN17" s="828"/>
      <c r="AO17" s="828"/>
      <c r="AP17" s="828"/>
      <c r="AQ17" s="829"/>
      <c r="AR17" s="127"/>
    </row>
    <row r="18" spans="2:44" ht="14.25" customHeight="1" x14ac:dyDescent="0.25">
      <c r="B18" s="126" t="s">
        <v>341</v>
      </c>
      <c r="C18" s="812"/>
      <c r="D18" s="813"/>
      <c r="E18" s="812"/>
      <c r="F18" s="814"/>
      <c r="G18" s="813"/>
      <c r="H18" s="830"/>
      <c r="I18" s="831"/>
      <c r="J18" s="831"/>
      <c r="K18" s="831"/>
      <c r="L18" s="831"/>
      <c r="M18" s="831"/>
      <c r="N18" s="831"/>
      <c r="O18" s="831"/>
      <c r="P18" s="831"/>
      <c r="Q18" s="831"/>
      <c r="R18" s="831"/>
      <c r="S18" s="831"/>
      <c r="T18" s="831"/>
      <c r="U18" s="831"/>
      <c r="V18" s="831"/>
      <c r="W18" s="831"/>
      <c r="X18" s="831"/>
      <c r="Y18" s="832"/>
      <c r="Z18" s="818"/>
      <c r="AA18" s="819"/>
      <c r="AB18" s="820"/>
      <c r="AC18" s="821"/>
      <c r="AD18" s="822"/>
      <c r="AE18" s="823"/>
      <c r="AF18" s="824"/>
      <c r="AG18" s="825"/>
      <c r="AH18" s="825"/>
      <c r="AI18" s="825"/>
      <c r="AJ18" s="825"/>
      <c r="AK18" s="826"/>
      <c r="AL18" s="827">
        <f t="shared" ref="AL18:AL36" si="0">AC18*AF18</f>
        <v>0</v>
      </c>
      <c r="AM18" s="828"/>
      <c r="AN18" s="828"/>
      <c r="AO18" s="828"/>
      <c r="AP18" s="828"/>
      <c r="AQ18" s="829"/>
      <c r="AR18" s="127"/>
    </row>
    <row r="19" spans="2:44" ht="14.25" customHeight="1" x14ac:dyDescent="0.25">
      <c r="B19" s="126" t="s">
        <v>355</v>
      </c>
      <c r="C19" s="812"/>
      <c r="D19" s="813"/>
      <c r="E19" s="812"/>
      <c r="F19" s="814"/>
      <c r="G19" s="813"/>
      <c r="H19" s="830"/>
      <c r="I19" s="831"/>
      <c r="J19" s="831"/>
      <c r="K19" s="831"/>
      <c r="L19" s="831"/>
      <c r="M19" s="831"/>
      <c r="N19" s="831"/>
      <c r="O19" s="831"/>
      <c r="P19" s="831"/>
      <c r="Q19" s="831"/>
      <c r="R19" s="831"/>
      <c r="S19" s="831"/>
      <c r="T19" s="831"/>
      <c r="U19" s="831"/>
      <c r="V19" s="831"/>
      <c r="W19" s="831"/>
      <c r="X19" s="831"/>
      <c r="Y19" s="832"/>
      <c r="Z19" s="818"/>
      <c r="AA19" s="819"/>
      <c r="AB19" s="820"/>
      <c r="AC19" s="833"/>
      <c r="AD19" s="834"/>
      <c r="AE19" s="835"/>
      <c r="AF19" s="824"/>
      <c r="AG19" s="825"/>
      <c r="AH19" s="825"/>
      <c r="AI19" s="825"/>
      <c r="AJ19" s="825"/>
      <c r="AK19" s="826"/>
      <c r="AL19" s="827">
        <f t="shared" si="0"/>
        <v>0</v>
      </c>
      <c r="AM19" s="828"/>
      <c r="AN19" s="828"/>
      <c r="AO19" s="828"/>
      <c r="AP19" s="828"/>
      <c r="AQ19" s="829"/>
      <c r="AR19" s="127"/>
    </row>
    <row r="20" spans="2:44" ht="14.25" customHeight="1" x14ac:dyDescent="0.25">
      <c r="B20" s="126" t="s">
        <v>522</v>
      </c>
      <c r="C20" s="812"/>
      <c r="D20" s="813"/>
      <c r="E20" s="812"/>
      <c r="F20" s="814"/>
      <c r="G20" s="813"/>
      <c r="H20" s="830"/>
      <c r="I20" s="831"/>
      <c r="J20" s="831"/>
      <c r="K20" s="831"/>
      <c r="L20" s="831"/>
      <c r="M20" s="831"/>
      <c r="N20" s="831"/>
      <c r="O20" s="831"/>
      <c r="P20" s="831"/>
      <c r="Q20" s="831"/>
      <c r="R20" s="831"/>
      <c r="S20" s="831"/>
      <c r="T20" s="831"/>
      <c r="U20" s="831"/>
      <c r="V20" s="831"/>
      <c r="W20" s="831"/>
      <c r="X20" s="831"/>
      <c r="Y20" s="832"/>
      <c r="Z20" s="818"/>
      <c r="AA20" s="819"/>
      <c r="AB20" s="820"/>
      <c r="AC20" s="833"/>
      <c r="AD20" s="834"/>
      <c r="AE20" s="835"/>
      <c r="AF20" s="824"/>
      <c r="AG20" s="825"/>
      <c r="AH20" s="825"/>
      <c r="AI20" s="825"/>
      <c r="AJ20" s="825"/>
      <c r="AK20" s="826"/>
      <c r="AL20" s="827">
        <f>AC20*AF20</f>
        <v>0</v>
      </c>
      <c r="AM20" s="828"/>
      <c r="AN20" s="828"/>
      <c r="AO20" s="828"/>
      <c r="AP20" s="828"/>
      <c r="AQ20" s="829"/>
      <c r="AR20" s="127"/>
    </row>
    <row r="21" spans="2:44" ht="14.25" customHeight="1" x14ac:dyDescent="0.25">
      <c r="B21" s="126" t="s">
        <v>523</v>
      </c>
      <c r="C21" s="812"/>
      <c r="D21" s="813"/>
      <c r="E21" s="812"/>
      <c r="F21" s="814"/>
      <c r="G21" s="813"/>
      <c r="H21" s="830"/>
      <c r="I21" s="831"/>
      <c r="J21" s="831"/>
      <c r="K21" s="831"/>
      <c r="L21" s="831"/>
      <c r="M21" s="831"/>
      <c r="N21" s="831"/>
      <c r="O21" s="831"/>
      <c r="P21" s="831"/>
      <c r="Q21" s="831"/>
      <c r="R21" s="831"/>
      <c r="S21" s="831"/>
      <c r="T21" s="831"/>
      <c r="U21" s="831"/>
      <c r="V21" s="831"/>
      <c r="W21" s="831"/>
      <c r="X21" s="831"/>
      <c r="Y21" s="832"/>
      <c r="Z21" s="818"/>
      <c r="AA21" s="819"/>
      <c r="AB21" s="820"/>
      <c r="AC21" s="833"/>
      <c r="AD21" s="834"/>
      <c r="AE21" s="835"/>
      <c r="AF21" s="836"/>
      <c r="AG21" s="837"/>
      <c r="AH21" s="837"/>
      <c r="AI21" s="837"/>
      <c r="AJ21" s="837"/>
      <c r="AK21" s="838"/>
      <c r="AL21" s="827">
        <f>AC21*AF21</f>
        <v>0</v>
      </c>
      <c r="AM21" s="828"/>
      <c r="AN21" s="828"/>
      <c r="AO21" s="828"/>
      <c r="AP21" s="828"/>
      <c r="AQ21" s="829"/>
      <c r="AR21" s="127"/>
    </row>
    <row r="22" spans="2:44" ht="14.25" customHeight="1" x14ac:dyDescent="0.25">
      <c r="B22" s="126" t="s">
        <v>367</v>
      </c>
      <c r="C22" s="812"/>
      <c r="D22" s="813"/>
      <c r="E22" s="812"/>
      <c r="F22" s="814"/>
      <c r="G22" s="813"/>
      <c r="H22" s="830"/>
      <c r="I22" s="831"/>
      <c r="J22" s="831"/>
      <c r="K22" s="831"/>
      <c r="L22" s="831"/>
      <c r="M22" s="831"/>
      <c r="N22" s="831"/>
      <c r="O22" s="831"/>
      <c r="P22" s="831"/>
      <c r="Q22" s="831"/>
      <c r="R22" s="831"/>
      <c r="S22" s="831"/>
      <c r="T22" s="831"/>
      <c r="U22" s="831"/>
      <c r="V22" s="831"/>
      <c r="W22" s="831"/>
      <c r="X22" s="831"/>
      <c r="Y22" s="832"/>
      <c r="Z22" s="818"/>
      <c r="AA22" s="819"/>
      <c r="AB22" s="820"/>
      <c r="AC22" s="833"/>
      <c r="AD22" s="834"/>
      <c r="AE22" s="835"/>
      <c r="AF22" s="824"/>
      <c r="AG22" s="825"/>
      <c r="AH22" s="825"/>
      <c r="AI22" s="825"/>
      <c r="AJ22" s="825"/>
      <c r="AK22" s="826"/>
      <c r="AL22" s="827">
        <f>AC22*AF22</f>
        <v>0</v>
      </c>
      <c r="AM22" s="828"/>
      <c r="AN22" s="828"/>
      <c r="AO22" s="828"/>
      <c r="AP22" s="828"/>
      <c r="AQ22" s="829"/>
      <c r="AR22" s="127"/>
    </row>
    <row r="23" spans="2:44" ht="14.25" customHeight="1" x14ac:dyDescent="0.25">
      <c r="B23" s="126" t="s">
        <v>524</v>
      </c>
      <c r="C23" s="812"/>
      <c r="D23" s="813"/>
      <c r="E23" s="812"/>
      <c r="F23" s="814"/>
      <c r="G23" s="813"/>
      <c r="H23" s="830"/>
      <c r="I23" s="831"/>
      <c r="J23" s="831"/>
      <c r="K23" s="831"/>
      <c r="L23" s="831"/>
      <c r="M23" s="831"/>
      <c r="N23" s="831"/>
      <c r="O23" s="831"/>
      <c r="P23" s="831"/>
      <c r="Q23" s="831"/>
      <c r="R23" s="831"/>
      <c r="S23" s="831"/>
      <c r="T23" s="831"/>
      <c r="U23" s="831"/>
      <c r="V23" s="831"/>
      <c r="W23" s="831"/>
      <c r="X23" s="831"/>
      <c r="Y23" s="832"/>
      <c r="Z23" s="818"/>
      <c r="AA23" s="819"/>
      <c r="AB23" s="820"/>
      <c r="AC23" s="833"/>
      <c r="AD23" s="834"/>
      <c r="AE23" s="835"/>
      <c r="AF23" s="824"/>
      <c r="AG23" s="825"/>
      <c r="AH23" s="825"/>
      <c r="AI23" s="825"/>
      <c r="AJ23" s="825"/>
      <c r="AK23" s="826"/>
      <c r="AL23" s="827">
        <f>AC23*AF23</f>
        <v>0</v>
      </c>
      <c r="AM23" s="828"/>
      <c r="AN23" s="828"/>
      <c r="AO23" s="828"/>
      <c r="AP23" s="828"/>
      <c r="AQ23" s="829"/>
      <c r="AR23" s="127"/>
    </row>
    <row r="24" spans="2:44" ht="14.25" customHeight="1" x14ac:dyDescent="0.25">
      <c r="B24" s="126" t="s">
        <v>525</v>
      </c>
      <c r="C24" s="812"/>
      <c r="D24" s="813"/>
      <c r="E24" s="812"/>
      <c r="F24" s="814"/>
      <c r="G24" s="813"/>
      <c r="H24" s="830"/>
      <c r="I24" s="831"/>
      <c r="J24" s="831"/>
      <c r="K24" s="831"/>
      <c r="L24" s="831"/>
      <c r="M24" s="831"/>
      <c r="N24" s="831"/>
      <c r="O24" s="831"/>
      <c r="P24" s="831"/>
      <c r="Q24" s="831"/>
      <c r="R24" s="831"/>
      <c r="S24" s="831"/>
      <c r="T24" s="831"/>
      <c r="U24" s="831"/>
      <c r="V24" s="831"/>
      <c r="W24" s="831"/>
      <c r="X24" s="831"/>
      <c r="Y24" s="832"/>
      <c r="Z24" s="818"/>
      <c r="AA24" s="819"/>
      <c r="AB24" s="820"/>
      <c r="AC24" s="833"/>
      <c r="AD24" s="834"/>
      <c r="AE24" s="835"/>
      <c r="AF24" s="824"/>
      <c r="AG24" s="825"/>
      <c r="AH24" s="825"/>
      <c r="AI24" s="825"/>
      <c r="AJ24" s="825"/>
      <c r="AK24" s="826"/>
      <c r="AL24" s="827">
        <f>AC24*AF24</f>
        <v>0</v>
      </c>
      <c r="AM24" s="828"/>
      <c r="AN24" s="828"/>
      <c r="AO24" s="828"/>
      <c r="AP24" s="828"/>
      <c r="AQ24" s="829"/>
      <c r="AR24" s="127"/>
    </row>
    <row r="25" spans="2:44" ht="14.25" customHeight="1" x14ac:dyDescent="0.25">
      <c r="B25" s="126" t="s">
        <v>526</v>
      </c>
      <c r="C25" s="812"/>
      <c r="D25" s="813"/>
      <c r="E25" s="812"/>
      <c r="F25" s="814"/>
      <c r="G25" s="813"/>
      <c r="H25" s="830"/>
      <c r="I25" s="831"/>
      <c r="J25" s="831"/>
      <c r="K25" s="831"/>
      <c r="L25" s="831"/>
      <c r="M25" s="831"/>
      <c r="N25" s="831"/>
      <c r="O25" s="831"/>
      <c r="P25" s="831"/>
      <c r="Q25" s="831"/>
      <c r="R25" s="831"/>
      <c r="S25" s="831"/>
      <c r="T25" s="831"/>
      <c r="U25" s="831"/>
      <c r="V25" s="831"/>
      <c r="W25" s="831"/>
      <c r="X25" s="831"/>
      <c r="Y25" s="832"/>
      <c r="Z25" s="818"/>
      <c r="AA25" s="819"/>
      <c r="AB25" s="820"/>
      <c r="AC25" s="839"/>
      <c r="AD25" s="840"/>
      <c r="AE25" s="841"/>
      <c r="AF25" s="824"/>
      <c r="AG25" s="825"/>
      <c r="AH25" s="825"/>
      <c r="AI25" s="825"/>
      <c r="AJ25" s="825"/>
      <c r="AK25" s="826"/>
      <c r="AL25" s="827">
        <f t="shared" si="0"/>
        <v>0</v>
      </c>
      <c r="AM25" s="828"/>
      <c r="AN25" s="828"/>
      <c r="AO25" s="828"/>
      <c r="AP25" s="828"/>
      <c r="AQ25" s="829"/>
      <c r="AR25" s="127"/>
    </row>
    <row r="26" spans="2:44" ht="14.25" customHeight="1" x14ac:dyDescent="0.25">
      <c r="B26" s="126" t="s">
        <v>527</v>
      </c>
      <c r="C26" s="818"/>
      <c r="D26" s="820"/>
      <c r="E26" s="812"/>
      <c r="F26" s="814"/>
      <c r="G26" s="813"/>
      <c r="H26" s="830"/>
      <c r="I26" s="831"/>
      <c r="J26" s="831"/>
      <c r="K26" s="831"/>
      <c r="L26" s="831"/>
      <c r="M26" s="831"/>
      <c r="N26" s="831"/>
      <c r="O26" s="831"/>
      <c r="P26" s="831"/>
      <c r="Q26" s="831"/>
      <c r="R26" s="831"/>
      <c r="S26" s="831"/>
      <c r="T26" s="831"/>
      <c r="U26" s="831"/>
      <c r="V26" s="831"/>
      <c r="W26" s="831"/>
      <c r="X26" s="831"/>
      <c r="Y26" s="832"/>
      <c r="Z26" s="818"/>
      <c r="AA26" s="819"/>
      <c r="AB26" s="820"/>
      <c r="AC26" s="839"/>
      <c r="AD26" s="840"/>
      <c r="AE26" s="841"/>
      <c r="AF26" s="824"/>
      <c r="AG26" s="825"/>
      <c r="AH26" s="825"/>
      <c r="AI26" s="825"/>
      <c r="AJ26" s="825"/>
      <c r="AK26" s="826"/>
      <c r="AL26" s="827">
        <f t="shared" si="0"/>
        <v>0</v>
      </c>
      <c r="AM26" s="828"/>
      <c r="AN26" s="828"/>
      <c r="AO26" s="828"/>
      <c r="AP26" s="828"/>
      <c r="AQ26" s="829"/>
      <c r="AR26" s="127"/>
    </row>
    <row r="27" spans="2:44" ht="14.25" customHeight="1" x14ac:dyDescent="0.25">
      <c r="B27" s="126" t="s">
        <v>383</v>
      </c>
      <c r="C27" s="812"/>
      <c r="D27" s="813"/>
      <c r="E27" s="812"/>
      <c r="F27" s="814"/>
      <c r="G27" s="813"/>
      <c r="H27" s="830"/>
      <c r="I27" s="831"/>
      <c r="J27" s="831"/>
      <c r="K27" s="831"/>
      <c r="L27" s="831"/>
      <c r="M27" s="831"/>
      <c r="N27" s="831"/>
      <c r="O27" s="831"/>
      <c r="P27" s="831"/>
      <c r="Q27" s="831"/>
      <c r="R27" s="831"/>
      <c r="S27" s="831"/>
      <c r="T27" s="831"/>
      <c r="U27" s="831"/>
      <c r="V27" s="831"/>
      <c r="W27" s="831"/>
      <c r="X27" s="831"/>
      <c r="Y27" s="832"/>
      <c r="Z27" s="818"/>
      <c r="AA27" s="819"/>
      <c r="AB27" s="820"/>
      <c r="AC27" s="839"/>
      <c r="AD27" s="840"/>
      <c r="AE27" s="841"/>
      <c r="AF27" s="824"/>
      <c r="AG27" s="825"/>
      <c r="AH27" s="825"/>
      <c r="AI27" s="825"/>
      <c r="AJ27" s="825"/>
      <c r="AK27" s="826"/>
      <c r="AL27" s="827">
        <f t="shared" si="0"/>
        <v>0</v>
      </c>
      <c r="AM27" s="828"/>
      <c r="AN27" s="828"/>
      <c r="AO27" s="828"/>
      <c r="AP27" s="828"/>
      <c r="AQ27" s="829"/>
      <c r="AR27" s="127"/>
    </row>
    <row r="28" spans="2:44" ht="14.25" customHeight="1" x14ac:dyDescent="0.25">
      <c r="B28" s="126" t="s">
        <v>390</v>
      </c>
      <c r="C28" s="812"/>
      <c r="D28" s="813"/>
      <c r="E28" s="812"/>
      <c r="F28" s="814"/>
      <c r="G28" s="813"/>
      <c r="H28" s="830"/>
      <c r="I28" s="831"/>
      <c r="J28" s="831"/>
      <c r="K28" s="831"/>
      <c r="L28" s="831"/>
      <c r="M28" s="831"/>
      <c r="N28" s="831"/>
      <c r="O28" s="831"/>
      <c r="P28" s="831"/>
      <c r="Q28" s="831"/>
      <c r="R28" s="831"/>
      <c r="S28" s="831"/>
      <c r="T28" s="831"/>
      <c r="U28" s="831"/>
      <c r="V28" s="831"/>
      <c r="W28" s="831"/>
      <c r="X28" s="831"/>
      <c r="Y28" s="832"/>
      <c r="Z28" s="818"/>
      <c r="AA28" s="819"/>
      <c r="AB28" s="820"/>
      <c r="AC28" s="839"/>
      <c r="AD28" s="840"/>
      <c r="AE28" s="841"/>
      <c r="AF28" s="824"/>
      <c r="AG28" s="825"/>
      <c r="AH28" s="825"/>
      <c r="AI28" s="825"/>
      <c r="AJ28" s="825"/>
      <c r="AK28" s="826"/>
      <c r="AL28" s="827">
        <f t="shared" si="0"/>
        <v>0</v>
      </c>
      <c r="AM28" s="828"/>
      <c r="AN28" s="828"/>
      <c r="AO28" s="828"/>
      <c r="AP28" s="828"/>
      <c r="AQ28" s="829"/>
      <c r="AR28" s="127"/>
    </row>
    <row r="29" spans="2:44" ht="14.25" customHeight="1" x14ac:dyDescent="0.25">
      <c r="B29" s="126" t="s">
        <v>392</v>
      </c>
      <c r="C29" s="812"/>
      <c r="D29" s="813"/>
      <c r="E29" s="812"/>
      <c r="F29" s="814"/>
      <c r="G29" s="813"/>
      <c r="H29" s="830"/>
      <c r="I29" s="831"/>
      <c r="J29" s="831"/>
      <c r="K29" s="831"/>
      <c r="L29" s="831"/>
      <c r="M29" s="831"/>
      <c r="N29" s="831"/>
      <c r="O29" s="831"/>
      <c r="P29" s="831"/>
      <c r="Q29" s="831"/>
      <c r="R29" s="831"/>
      <c r="S29" s="831"/>
      <c r="T29" s="831"/>
      <c r="U29" s="831"/>
      <c r="V29" s="831"/>
      <c r="W29" s="831"/>
      <c r="X29" s="831"/>
      <c r="Y29" s="832"/>
      <c r="Z29" s="818"/>
      <c r="AA29" s="819"/>
      <c r="AB29" s="820"/>
      <c r="AC29" s="839"/>
      <c r="AD29" s="840"/>
      <c r="AE29" s="841"/>
      <c r="AF29" s="824"/>
      <c r="AG29" s="825"/>
      <c r="AH29" s="825"/>
      <c r="AI29" s="825"/>
      <c r="AJ29" s="825"/>
      <c r="AK29" s="826"/>
      <c r="AL29" s="827">
        <f t="shared" si="0"/>
        <v>0</v>
      </c>
      <c r="AM29" s="828"/>
      <c r="AN29" s="828"/>
      <c r="AO29" s="828"/>
      <c r="AP29" s="828"/>
      <c r="AQ29" s="829"/>
      <c r="AR29" s="127"/>
    </row>
    <row r="30" spans="2:44" ht="14.25" customHeight="1" x14ac:dyDescent="0.25">
      <c r="B30" s="126" t="s">
        <v>400</v>
      </c>
      <c r="C30" s="818"/>
      <c r="D30" s="820"/>
      <c r="E30" s="812"/>
      <c r="F30" s="814"/>
      <c r="G30" s="813"/>
      <c r="H30" s="830"/>
      <c r="I30" s="831"/>
      <c r="J30" s="831"/>
      <c r="K30" s="831"/>
      <c r="L30" s="831"/>
      <c r="M30" s="831"/>
      <c r="N30" s="831"/>
      <c r="O30" s="831"/>
      <c r="P30" s="831"/>
      <c r="Q30" s="831"/>
      <c r="R30" s="831"/>
      <c r="S30" s="831"/>
      <c r="T30" s="831"/>
      <c r="U30" s="831"/>
      <c r="V30" s="831"/>
      <c r="W30" s="831"/>
      <c r="X30" s="831"/>
      <c r="Y30" s="832"/>
      <c r="Z30" s="818"/>
      <c r="AA30" s="819"/>
      <c r="AB30" s="820"/>
      <c r="AC30" s="839"/>
      <c r="AD30" s="840"/>
      <c r="AE30" s="841"/>
      <c r="AF30" s="824"/>
      <c r="AG30" s="825"/>
      <c r="AH30" s="825"/>
      <c r="AI30" s="825"/>
      <c r="AJ30" s="825"/>
      <c r="AK30" s="826"/>
      <c r="AL30" s="827">
        <f t="shared" si="0"/>
        <v>0</v>
      </c>
      <c r="AM30" s="828"/>
      <c r="AN30" s="828"/>
      <c r="AO30" s="828"/>
      <c r="AP30" s="828"/>
      <c r="AQ30" s="829"/>
      <c r="AR30" s="127"/>
    </row>
    <row r="31" spans="2:44" ht="14.25" customHeight="1" x14ac:dyDescent="0.25">
      <c r="B31" s="126" t="s">
        <v>403</v>
      </c>
      <c r="C31" s="812"/>
      <c r="D31" s="813"/>
      <c r="E31" s="812"/>
      <c r="F31" s="814"/>
      <c r="G31" s="813"/>
      <c r="H31" s="830"/>
      <c r="I31" s="831"/>
      <c r="J31" s="831"/>
      <c r="K31" s="831"/>
      <c r="L31" s="831"/>
      <c r="M31" s="831"/>
      <c r="N31" s="831"/>
      <c r="O31" s="831"/>
      <c r="P31" s="831"/>
      <c r="Q31" s="831"/>
      <c r="R31" s="831"/>
      <c r="S31" s="831"/>
      <c r="T31" s="831"/>
      <c r="U31" s="831"/>
      <c r="V31" s="831"/>
      <c r="W31" s="831"/>
      <c r="X31" s="831"/>
      <c r="Y31" s="832"/>
      <c r="Z31" s="818"/>
      <c r="AA31" s="819"/>
      <c r="AB31" s="820"/>
      <c r="AC31" s="839"/>
      <c r="AD31" s="840"/>
      <c r="AE31" s="841"/>
      <c r="AF31" s="824"/>
      <c r="AG31" s="825"/>
      <c r="AH31" s="825"/>
      <c r="AI31" s="825"/>
      <c r="AJ31" s="825"/>
      <c r="AK31" s="826"/>
      <c r="AL31" s="827">
        <f t="shared" si="0"/>
        <v>0</v>
      </c>
      <c r="AM31" s="828"/>
      <c r="AN31" s="828"/>
      <c r="AO31" s="828"/>
      <c r="AP31" s="828"/>
      <c r="AQ31" s="829"/>
      <c r="AR31" s="127"/>
    </row>
    <row r="32" spans="2:44" ht="14.25" customHeight="1" x14ac:dyDescent="0.25">
      <c r="B32" s="126" t="s">
        <v>405</v>
      </c>
      <c r="C32" s="812"/>
      <c r="D32" s="813"/>
      <c r="E32" s="812"/>
      <c r="F32" s="814"/>
      <c r="G32" s="813"/>
      <c r="H32" s="830"/>
      <c r="I32" s="831"/>
      <c r="J32" s="831"/>
      <c r="K32" s="831"/>
      <c r="L32" s="831"/>
      <c r="M32" s="831"/>
      <c r="N32" s="831"/>
      <c r="O32" s="831"/>
      <c r="P32" s="831"/>
      <c r="Q32" s="831"/>
      <c r="R32" s="831"/>
      <c r="S32" s="831"/>
      <c r="T32" s="831"/>
      <c r="U32" s="831"/>
      <c r="V32" s="831"/>
      <c r="W32" s="831"/>
      <c r="X32" s="831"/>
      <c r="Y32" s="832"/>
      <c r="Z32" s="818"/>
      <c r="AA32" s="819"/>
      <c r="AB32" s="820"/>
      <c r="AC32" s="842"/>
      <c r="AD32" s="843"/>
      <c r="AE32" s="844"/>
      <c r="AF32" s="824"/>
      <c r="AG32" s="825"/>
      <c r="AH32" s="825"/>
      <c r="AI32" s="825"/>
      <c r="AJ32" s="825"/>
      <c r="AK32" s="826"/>
      <c r="AL32" s="827">
        <f t="shared" si="0"/>
        <v>0</v>
      </c>
      <c r="AM32" s="828"/>
      <c r="AN32" s="828"/>
      <c r="AO32" s="828"/>
      <c r="AP32" s="828"/>
      <c r="AQ32" s="829"/>
      <c r="AR32" s="127"/>
    </row>
    <row r="33" spans="2:49" ht="14.25" customHeight="1" x14ac:dyDescent="0.25">
      <c r="B33" s="126" t="s">
        <v>409</v>
      </c>
      <c r="C33" s="812"/>
      <c r="D33" s="813"/>
      <c r="E33" s="812"/>
      <c r="F33" s="814"/>
      <c r="G33" s="813"/>
      <c r="H33" s="830"/>
      <c r="I33" s="831"/>
      <c r="J33" s="831"/>
      <c r="K33" s="831"/>
      <c r="L33" s="831"/>
      <c r="M33" s="831"/>
      <c r="N33" s="831"/>
      <c r="O33" s="831"/>
      <c r="P33" s="831"/>
      <c r="Q33" s="831"/>
      <c r="R33" s="831"/>
      <c r="S33" s="831"/>
      <c r="T33" s="831"/>
      <c r="U33" s="831"/>
      <c r="V33" s="831"/>
      <c r="W33" s="831"/>
      <c r="X33" s="831"/>
      <c r="Y33" s="832"/>
      <c r="Z33" s="818"/>
      <c r="AA33" s="819"/>
      <c r="AB33" s="820"/>
      <c r="AC33" s="842"/>
      <c r="AD33" s="843"/>
      <c r="AE33" s="844"/>
      <c r="AF33" s="824"/>
      <c r="AG33" s="825"/>
      <c r="AH33" s="825"/>
      <c r="AI33" s="825"/>
      <c r="AJ33" s="825"/>
      <c r="AK33" s="826"/>
      <c r="AL33" s="827">
        <f t="shared" si="0"/>
        <v>0</v>
      </c>
      <c r="AM33" s="828"/>
      <c r="AN33" s="828"/>
      <c r="AO33" s="828"/>
      <c r="AP33" s="828"/>
      <c r="AQ33" s="829"/>
      <c r="AR33" s="127"/>
    </row>
    <row r="34" spans="2:49" ht="14.25" customHeight="1" x14ac:dyDescent="0.25">
      <c r="B34" s="126" t="s">
        <v>411</v>
      </c>
      <c r="C34" s="818"/>
      <c r="D34" s="820"/>
      <c r="E34" s="812"/>
      <c r="F34" s="814"/>
      <c r="G34" s="813"/>
      <c r="H34" s="830"/>
      <c r="I34" s="831"/>
      <c r="J34" s="831"/>
      <c r="K34" s="831"/>
      <c r="L34" s="831"/>
      <c r="M34" s="831"/>
      <c r="N34" s="831"/>
      <c r="O34" s="831"/>
      <c r="P34" s="831"/>
      <c r="Q34" s="831"/>
      <c r="R34" s="831"/>
      <c r="S34" s="831"/>
      <c r="T34" s="831"/>
      <c r="U34" s="831"/>
      <c r="V34" s="831"/>
      <c r="W34" s="831"/>
      <c r="X34" s="831"/>
      <c r="Y34" s="832"/>
      <c r="Z34" s="818"/>
      <c r="AA34" s="819"/>
      <c r="AB34" s="820"/>
      <c r="AC34" s="842"/>
      <c r="AD34" s="843"/>
      <c r="AE34" s="844"/>
      <c r="AF34" s="824"/>
      <c r="AG34" s="825"/>
      <c r="AH34" s="825"/>
      <c r="AI34" s="825"/>
      <c r="AJ34" s="825"/>
      <c r="AK34" s="826"/>
      <c r="AL34" s="827">
        <f t="shared" si="0"/>
        <v>0</v>
      </c>
      <c r="AM34" s="828"/>
      <c r="AN34" s="828"/>
      <c r="AO34" s="828"/>
      <c r="AP34" s="828"/>
      <c r="AQ34" s="829"/>
      <c r="AR34" s="127"/>
    </row>
    <row r="35" spans="2:49" ht="14.25" customHeight="1" x14ac:dyDescent="0.25">
      <c r="B35" s="126" t="s">
        <v>433</v>
      </c>
      <c r="C35" s="812"/>
      <c r="D35" s="813"/>
      <c r="E35" s="812"/>
      <c r="F35" s="814"/>
      <c r="G35" s="813"/>
      <c r="H35" s="830"/>
      <c r="I35" s="831"/>
      <c r="J35" s="831"/>
      <c r="K35" s="831"/>
      <c r="L35" s="831"/>
      <c r="M35" s="831"/>
      <c r="N35" s="831"/>
      <c r="O35" s="831"/>
      <c r="P35" s="831"/>
      <c r="Q35" s="831"/>
      <c r="R35" s="831"/>
      <c r="S35" s="831"/>
      <c r="T35" s="831"/>
      <c r="U35" s="831"/>
      <c r="V35" s="831"/>
      <c r="W35" s="831"/>
      <c r="X35" s="831"/>
      <c r="Y35" s="832"/>
      <c r="Z35" s="818"/>
      <c r="AA35" s="819"/>
      <c r="AB35" s="820"/>
      <c r="AC35" s="842"/>
      <c r="AD35" s="843"/>
      <c r="AE35" s="844"/>
      <c r="AF35" s="824"/>
      <c r="AG35" s="825"/>
      <c r="AH35" s="825"/>
      <c r="AI35" s="825"/>
      <c r="AJ35" s="825"/>
      <c r="AK35" s="826"/>
      <c r="AL35" s="827">
        <f t="shared" si="0"/>
        <v>0</v>
      </c>
      <c r="AM35" s="828"/>
      <c r="AN35" s="828"/>
      <c r="AO35" s="828"/>
      <c r="AP35" s="828"/>
      <c r="AQ35" s="829"/>
      <c r="AR35" s="127"/>
    </row>
    <row r="36" spans="2:49" ht="14.25" customHeight="1" x14ac:dyDescent="0.25">
      <c r="B36" s="126" t="s">
        <v>528</v>
      </c>
      <c r="C36" s="812"/>
      <c r="D36" s="813"/>
      <c r="E36" s="812"/>
      <c r="F36" s="814"/>
      <c r="G36" s="813"/>
      <c r="H36" s="830"/>
      <c r="I36" s="831"/>
      <c r="J36" s="831"/>
      <c r="K36" s="831"/>
      <c r="L36" s="831"/>
      <c r="M36" s="831"/>
      <c r="N36" s="831"/>
      <c r="O36" s="831"/>
      <c r="P36" s="831"/>
      <c r="Q36" s="831"/>
      <c r="R36" s="831"/>
      <c r="S36" s="831"/>
      <c r="T36" s="831"/>
      <c r="U36" s="831"/>
      <c r="V36" s="831"/>
      <c r="W36" s="831"/>
      <c r="X36" s="831"/>
      <c r="Y36" s="832"/>
      <c r="Z36" s="818"/>
      <c r="AA36" s="819"/>
      <c r="AB36" s="820"/>
      <c r="AC36" s="842"/>
      <c r="AD36" s="843"/>
      <c r="AE36" s="844"/>
      <c r="AF36" s="824"/>
      <c r="AG36" s="825"/>
      <c r="AH36" s="825"/>
      <c r="AI36" s="825"/>
      <c r="AJ36" s="825"/>
      <c r="AK36" s="826"/>
      <c r="AL36" s="827">
        <f t="shared" si="0"/>
        <v>0</v>
      </c>
      <c r="AM36" s="828"/>
      <c r="AN36" s="828"/>
      <c r="AO36" s="828"/>
      <c r="AP36" s="828"/>
      <c r="AQ36" s="829"/>
    </row>
    <row r="37" spans="2:49" ht="3" customHeight="1" x14ac:dyDescent="0.3">
      <c r="B37" s="128"/>
      <c r="C37" s="129"/>
      <c r="D37" s="129"/>
      <c r="E37" s="130"/>
      <c r="F37" s="130"/>
      <c r="G37" s="130"/>
      <c r="H37" s="128"/>
      <c r="I37" s="128"/>
      <c r="J37" s="128"/>
      <c r="K37" s="128"/>
      <c r="L37" s="128"/>
      <c r="M37" s="128"/>
      <c r="N37" s="128"/>
      <c r="O37" s="128"/>
      <c r="P37" s="128"/>
      <c r="Q37" s="128"/>
      <c r="R37" s="128"/>
      <c r="S37" s="128"/>
      <c r="T37" s="128"/>
      <c r="U37" s="128"/>
      <c r="V37" s="128"/>
      <c r="W37" s="128"/>
      <c r="X37" s="128"/>
      <c r="Y37" s="128"/>
      <c r="Z37" s="131"/>
      <c r="AA37" s="131"/>
      <c r="AB37" s="131"/>
      <c r="AC37" s="132"/>
      <c r="AD37" s="132"/>
      <c r="AE37" s="132"/>
      <c r="AF37" s="133"/>
      <c r="AG37" s="133"/>
      <c r="AH37" s="133"/>
      <c r="AI37" s="133"/>
      <c r="AJ37" s="133"/>
      <c r="AK37" s="133"/>
      <c r="AL37" s="123"/>
      <c r="AM37" s="124"/>
      <c r="AN37" s="124"/>
      <c r="AO37" s="124"/>
      <c r="AP37" s="124"/>
      <c r="AQ37" s="125"/>
    </row>
    <row r="38" spans="2:49" ht="13.8" x14ac:dyDescent="0.3">
      <c r="B38" s="846" t="s">
        <v>529</v>
      </c>
      <c r="C38" s="847"/>
      <c r="D38" s="847"/>
      <c r="E38" s="847"/>
      <c r="F38" s="847"/>
      <c r="G38" s="847"/>
      <c r="H38" s="847"/>
      <c r="I38" s="847"/>
      <c r="J38" s="847"/>
      <c r="K38" s="847"/>
      <c r="L38" s="847"/>
      <c r="M38" s="847"/>
      <c r="N38" s="847"/>
      <c r="O38" s="847"/>
      <c r="P38" s="847"/>
      <c r="Q38" s="847"/>
      <c r="R38" s="847"/>
      <c r="S38" s="847"/>
      <c r="T38" s="847"/>
      <c r="U38" s="847"/>
      <c r="V38" s="847"/>
      <c r="W38" s="847"/>
      <c r="X38" s="848"/>
      <c r="Y38" s="134"/>
      <c r="Z38" s="849" t="s">
        <v>530</v>
      </c>
      <c r="AA38" s="849"/>
      <c r="AB38" s="849"/>
      <c r="AC38" s="849"/>
      <c r="AD38" s="849"/>
      <c r="AE38" s="849"/>
      <c r="AF38" s="849"/>
      <c r="AG38" s="849"/>
      <c r="AH38" s="849"/>
      <c r="AI38" s="849"/>
      <c r="AJ38" s="849"/>
      <c r="AK38" s="849"/>
      <c r="AL38" s="850" t="e">
        <f>SUM(AL16:AQ37)</f>
        <v>#REF!</v>
      </c>
      <c r="AM38" s="850"/>
      <c r="AN38" s="850"/>
      <c r="AO38" s="850"/>
      <c r="AP38" s="850"/>
      <c r="AQ38" s="850"/>
      <c r="AS38" s="135"/>
      <c r="AT38" s="135"/>
      <c r="AU38" s="135"/>
      <c r="AV38" s="135"/>
      <c r="AW38" s="135"/>
    </row>
    <row r="39" spans="2:49" ht="3" customHeight="1" x14ac:dyDescent="0.3">
      <c r="B39" s="134"/>
      <c r="C39" s="134"/>
      <c r="D39" s="134"/>
      <c r="E39" s="134"/>
      <c r="F39" s="134"/>
      <c r="G39" s="134"/>
      <c r="H39" s="134"/>
      <c r="I39" s="134"/>
      <c r="J39" s="136"/>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row>
    <row r="40" spans="2:49" ht="18" customHeight="1" x14ac:dyDescent="0.25">
      <c r="B40" s="851" t="s">
        <v>544</v>
      </c>
      <c r="C40" s="852"/>
      <c r="D40" s="852"/>
      <c r="E40" s="852"/>
      <c r="F40" s="852"/>
      <c r="G40" s="852"/>
      <c r="H40" s="852"/>
      <c r="I40" s="852"/>
      <c r="J40" s="852"/>
      <c r="K40" s="852"/>
      <c r="L40" s="852"/>
      <c r="M40" s="852"/>
      <c r="N40" s="852"/>
      <c r="O40" s="852"/>
      <c r="P40" s="852"/>
      <c r="Q40" s="852"/>
      <c r="R40" s="852"/>
      <c r="S40" s="852"/>
      <c r="T40" s="852"/>
      <c r="U40" s="852"/>
      <c r="V40" s="852"/>
      <c r="W40" s="852"/>
      <c r="X40" s="852"/>
      <c r="Y40" s="852"/>
      <c r="Z40" s="852"/>
      <c r="AA40" s="852"/>
      <c r="AB40" s="852"/>
      <c r="AC40" s="852"/>
      <c r="AD40" s="852"/>
      <c r="AE40" s="852"/>
      <c r="AF40" s="852"/>
      <c r="AG40" s="852"/>
      <c r="AH40" s="852"/>
      <c r="AI40" s="852"/>
      <c r="AJ40" s="852"/>
      <c r="AK40" s="852"/>
      <c r="AL40" s="852"/>
      <c r="AM40" s="852"/>
      <c r="AN40" s="852"/>
      <c r="AO40" s="852"/>
      <c r="AP40" s="852"/>
      <c r="AQ40" s="853"/>
    </row>
    <row r="41" spans="2:49" ht="13.35" customHeight="1" x14ac:dyDescent="0.25">
      <c r="B41" s="854"/>
      <c r="C41" s="855"/>
      <c r="D41" s="855"/>
      <c r="E41" s="855"/>
      <c r="F41" s="855"/>
      <c r="G41" s="855"/>
      <c r="H41" s="855"/>
      <c r="I41" s="855"/>
      <c r="J41" s="855"/>
      <c r="K41" s="855"/>
      <c r="L41" s="855"/>
      <c r="M41" s="855"/>
      <c r="N41" s="855"/>
      <c r="O41" s="855"/>
      <c r="P41" s="855"/>
      <c r="Q41" s="855"/>
      <c r="R41" s="855"/>
      <c r="S41" s="855"/>
      <c r="T41" s="855"/>
      <c r="U41" s="855"/>
      <c r="V41" s="855"/>
      <c r="W41" s="855"/>
      <c r="X41" s="855"/>
      <c r="Y41" s="855"/>
      <c r="Z41" s="855"/>
      <c r="AA41" s="855"/>
      <c r="AB41" s="855"/>
      <c r="AC41" s="855"/>
      <c r="AD41" s="855"/>
      <c r="AE41" s="855"/>
      <c r="AF41" s="855"/>
      <c r="AG41" s="855"/>
      <c r="AH41" s="855"/>
      <c r="AI41" s="855"/>
      <c r="AJ41" s="855"/>
      <c r="AK41" s="855"/>
      <c r="AL41" s="855"/>
      <c r="AM41" s="855"/>
      <c r="AN41" s="855"/>
      <c r="AO41" s="855"/>
      <c r="AP41" s="855"/>
      <c r="AQ41" s="856"/>
    </row>
    <row r="42" spans="2:49" ht="13.35" customHeight="1" x14ac:dyDescent="0.25">
      <c r="B42" s="854"/>
      <c r="C42" s="855"/>
      <c r="D42" s="855"/>
      <c r="E42" s="855"/>
      <c r="F42" s="855"/>
      <c r="G42" s="855"/>
      <c r="H42" s="855"/>
      <c r="I42" s="855"/>
      <c r="J42" s="855"/>
      <c r="K42" s="855"/>
      <c r="L42" s="855"/>
      <c r="M42" s="855"/>
      <c r="N42" s="855"/>
      <c r="O42" s="855"/>
      <c r="P42" s="855"/>
      <c r="Q42" s="855"/>
      <c r="R42" s="855"/>
      <c r="S42" s="855"/>
      <c r="T42" s="855"/>
      <c r="U42" s="855"/>
      <c r="V42" s="855"/>
      <c r="W42" s="855"/>
      <c r="X42" s="855"/>
      <c r="Y42" s="855"/>
      <c r="Z42" s="855"/>
      <c r="AA42" s="855"/>
      <c r="AB42" s="855"/>
      <c r="AC42" s="855"/>
      <c r="AD42" s="855"/>
      <c r="AE42" s="855"/>
      <c r="AF42" s="855"/>
      <c r="AG42" s="855"/>
      <c r="AH42" s="855"/>
      <c r="AI42" s="855"/>
      <c r="AJ42" s="855"/>
      <c r="AK42" s="855"/>
      <c r="AL42" s="855"/>
      <c r="AM42" s="855"/>
      <c r="AN42" s="855"/>
      <c r="AO42" s="855"/>
      <c r="AP42" s="855"/>
      <c r="AQ42" s="856"/>
    </row>
    <row r="43" spans="2:49" ht="13.35" customHeight="1" x14ac:dyDescent="0.25">
      <c r="B43" s="854"/>
      <c r="C43" s="855"/>
      <c r="D43" s="855"/>
      <c r="E43" s="855"/>
      <c r="F43" s="855"/>
      <c r="G43" s="855"/>
      <c r="H43" s="855"/>
      <c r="I43" s="855"/>
      <c r="J43" s="855"/>
      <c r="K43" s="855"/>
      <c r="L43" s="855"/>
      <c r="M43" s="855"/>
      <c r="N43" s="855"/>
      <c r="O43" s="855"/>
      <c r="P43" s="855"/>
      <c r="Q43" s="855"/>
      <c r="R43" s="855"/>
      <c r="S43" s="855"/>
      <c r="T43" s="855"/>
      <c r="U43" s="855"/>
      <c r="V43" s="855"/>
      <c r="W43" s="855"/>
      <c r="X43" s="855"/>
      <c r="Y43" s="855"/>
      <c r="Z43" s="855"/>
      <c r="AA43" s="855"/>
      <c r="AB43" s="855"/>
      <c r="AC43" s="855"/>
      <c r="AD43" s="855"/>
      <c r="AE43" s="855"/>
      <c r="AF43" s="855"/>
      <c r="AG43" s="855"/>
      <c r="AH43" s="855"/>
      <c r="AI43" s="855"/>
      <c r="AJ43" s="855"/>
      <c r="AK43" s="855"/>
      <c r="AL43" s="855"/>
      <c r="AM43" s="855"/>
      <c r="AN43" s="855"/>
      <c r="AO43" s="855"/>
      <c r="AP43" s="855"/>
      <c r="AQ43" s="856"/>
    </row>
    <row r="44" spans="2:49" ht="12.75" customHeight="1" x14ac:dyDescent="0.25">
      <c r="B44" s="857" t="s">
        <v>531</v>
      </c>
      <c r="C44" s="858"/>
      <c r="D44" s="858"/>
      <c r="E44" s="858"/>
      <c r="F44" s="858"/>
      <c r="G44" s="858"/>
      <c r="H44" s="858"/>
      <c r="I44" s="858"/>
      <c r="J44" s="858"/>
      <c r="K44" s="858"/>
      <c r="L44" s="858"/>
      <c r="M44" s="858"/>
      <c r="N44" s="858"/>
      <c r="O44" s="858"/>
      <c r="P44" s="858"/>
      <c r="Q44" s="858"/>
      <c r="R44" s="858"/>
      <c r="S44" s="858"/>
      <c r="T44" s="858"/>
      <c r="U44" s="858"/>
      <c r="V44" s="858"/>
      <c r="W44" s="858"/>
      <c r="X44" s="858"/>
      <c r="Y44" s="858"/>
      <c r="Z44" s="858"/>
      <c r="AA44" s="858"/>
      <c r="AB44" s="858"/>
      <c r="AC44" s="858"/>
      <c r="AD44" s="858"/>
      <c r="AE44" s="858"/>
      <c r="AF44" s="858"/>
      <c r="AG44" s="858"/>
      <c r="AH44" s="858"/>
      <c r="AI44" s="858"/>
      <c r="AJ44" s="858"/>
      <c r="AK44" s="858"/>
      <c r="AL44" s="858"/>
      <c r="AM44" s="858"/>
      <c r="AN44" s="858"/>
      <c r="AO44" s="858"/>
      <c r="AP44" s="858"/>
      <c r="AQ44" s="859"/>
    </row>
    <row r="45" spans="2:49" ht="3" customHeight="1" x14ac:dyDescent="0.25"/>
    <row r="46" spans="2:49" ht="13.8" x14ac:dyDescent="0.25">
      <c r="B46" s="860" t="s">
        <v>532</v>
      </c>
      <c r="C46" s="861"/>
      <c r="D46" s="861"/>
      <c r="E46" s="861"/>
      <c r="F46" s="861"/>
      <c r="G46" s="861"/>
      <c r="H46" s="861"/>
      <c r="I46" s="861"/>
      <c r="J46" s="861"/>
      <c r="K46" s="861"/>
      <c r="L46" s="861"/>
      <c r="M46" s="861"/>
      <c r="N46" s="861"/>
      <c r="O46" s="861"/>
      <c r="P46" s="861"/>
      <c r="Q46" s="861"/>
      <c r="R46" s="861"/>
      <c r="S46" s="861"/>
      <c r="T46" s="861"/>
      <c r="U46" s="861"/>
      <c r="V46" s="861"/>
      <c r="W46" s="861"/>
      <c r="X46" s="861"/>
      <c r="Y46" s="861"/>
      <c r="Z46" s="861"/>
      <c r="AA46" s="861"/>
      <c r="AB46" s="861"/>
      <c r="AC46" s="861"/>
      <c r="AD46" s="861"/>
      <c r="AE46" s="861"/>
      <c r="AF46" s="861"/>
      <c r="AG46" s="861"/>
      <c r="AH46" s="861"/>
      <c r="AI46" s="861"/>
      <c r="AJ46" s="861"/>
      <c r="AK46" s="861"/>
      <c r="AL46" s="861"/>
      <c r="AM46" s="861"/>
      <c r="AN46" s="861"/>
      <c r="AO46" s="861"/>
      <c r="AP46" s="861"/>
      <c r="AQ46" s="862"/>
    </row>
    <row r="47" spans="2:49" ht="13.8" x14ac:dyDescent="0.3">
      <c r="B47" s="137"/>
      <c r="C47" s="845"/>
      <c r="D47" s="845"/>
      <c r="E47" s="845"/>
      <c r="F47" s="845"/>
      <c r="G47" s="845"/>
      <c r="H47" s="845"/>
      <c r="I47" s="845"/>
      <c r="J47" s="845"/>
      <c r="K47" s="845"/>
      <c r="L47" s="138"/>
      <c r="M47" s="138"/>
      <c r="N47" s="139"/>
      <c r="O47" s="139"/>
      <c r="P47" s="139"/>
      <c r="Q47" s="139"/>
      <c r="R47" s="845"/>
      <c r="S47" s="845"/>
      <c r="T47" s="845"/>
      <c r="U47" s="845"/>
      <c r="V47" s="845"/>
      <c r="W47" s="845"/>
      <c r="X47" s="845"/>
      <c r="Y47" s="845"/>
      <c r="Z47" s="845"/>
      <c r="AA47" s="845"/>
      <c r="AB47" s="139"/>
      <c r="AC47" s="139"/>
      <c r="AD47" s="139"/>
      <c r="AE47" s="139"/>
      <c r="AF47" s="139"/>
      <c r="AG47" s="138"/>
      <c r="AH47" s="845"/>
      <c r="AI47" s="845"/>
      <c r="AJ47" s="845"/>
      <c r="AK47" s="845"/>
      <c r="AL47" s="845"/>
      <c r="AM47" s="845"/>
      <c r="AN47" s="845"/>
      <c r="AO47" s="845"/>
      <c r="AP47" s="845"/>
      <c r="AQ47" s="140"/>
    </row>
    <row r="48" spans="2:49" ht="13.8" x14ac:dyDescent="0.3">
      <c r="B48" s="137"/>
      <c r="C48" s="845"/>
      <c r="D48" s="845"/>
      <c r="E48" s="845"/>
      <c r="F48" s="845"/>
      <c r="G48" s="845"/>
      <c r="H48" s="845"/>
      <c r="I48" s="845"/>
      <c r="J48" s="845"/>
      <c r="K48" s="845"/>
      <c r="L48" s="138"/>
      <c r="M48" s="138"/>
      <c r="N48" s="139"/>
      <c r="O48" s="139"/>
      <c r="P48" s="139"/>
      <c r="Q48" s="139"/>
      <c r="R48" s="845"/>
      <c r="S48" s="845"/>
      <c r="T48" s="845"/>
      <c r="U48" s="845"/>
      <c r="V48" s="845"/>
      <c r="W48" s="845"/>
      <c r="X48" s="845"/>
      <c r="Y48" s="845"/>
      <c r="Z48" s="845"/>
      <c r="AA48" s="845"/>
      <c r="AB48" s="139"/>
      <c r="AC48" s="139"/>
      <c r="AD48" s="139"/>
      <c r="AE48" s="139"/>
      <c r="AF48" s="139"/>
      <c r="AG48" s="138"/>
      <c r="AH48" s="845"/>
      <c r="AI48" s="845"/>
      <c r="AJ48" s="845"/>
      <c r="AK48" s="845"/>
      <c r="AL48" s="845"/>
      <c r="AM48" s="845"/>
      <c r="AN48" s="845"/>
      <c r="AO48" s="845"/>
      <c r="AP48" s="845"/>
      <c r="AQ48" s="140"/>
    </row>
    <row r="49" spans="2:43" ht="13.8" x14ac:dyDescent="0.3">
      <c r="B49" s="137"/>
      <c r="C49" s="845"/>
      <c r="D49" s="845"/>
      <c r="E49" s="845"/>
      <c r="F49" s="845"/>
      <c r="G49" s="845"/>
      <c r="H49" s="845"/>
      <c r="I49" s="845"/>
      <c r="J49" s="845"/>
      <c r="K49" s="845"/>
      <c r="L49" s="138"/>
      <c r="M49" s="138"/>
      <c r="N49" s="139"/>
      <c r="O49" s="139"/>
      <c r="P49" s="139"/>
      <c r="Q49" s="139"/>
      <c r="R49" s="845"/>
      <c r="S49" s="845"/>
      <c r="T49" s="845"/>
      <c r="U49" s="845"/>
      <c r="V49" s="845"/>
      <c r="W49" s="845"/>
      <c r="X49" s="845"/>
      <c r="Y49" s="845"/>
      <c r="Z49" s="845"/>
      <c r="AA49" s="845"/>
      <c r="AB49" s="139"/>
      <c r="AC49" s="139"/>
      <c r="AD49" s="139"/>
      <c r="AE49" s="139"/>
      <c r="AF49" s="139"/>
      <c r="AG49" s="138"/>
      <c r="AH49" s="845"/>
      <c r="AI49" s="845"/>
      <c r="AJ49" s="845"/>
      <c r="AK49" s="845"/>
      <c r="AL49" s="845"/>
      <c r="AM49" s="845"/>
      <c r="AN49" s="845"/>
      <c r="AO49" s="845"/>
      <c r="AP49" s="845"/>
      <c r="AQ49" s="140"/>
    </row>
    <row r="50" spans="2:43" ht="13.8" x14ac:dyDescent="0.3">
      <c r="B50" s="137"/>
      <c r="C50" s="845"/>
      <c r="D50" s="845"/>
      <c r="E50" s="845"/>
      <c r="F50" s="845"/>
      <c r="G50" s="845"/>
      <c r="H50" s="845"/>
      <c r="I50" s="845"/>
      <c r="J50" s="845"/>
      <c r="K50" s="845"/>
      <c r="L50" s="138"/>
      <c r="M50" s="138"/>
      <c r="N50" s="139"/>
      <c r="O50" s="139"/>
      <c r="P50" s="139"/>
      <c r="Q50" s="139"/>
      <c r="R50" s="845"/>
      <c r="S50" s="845"/>
      <c r="T50" s="845"/>
      <c r="U50" s="845"/>
      <c r="V50" s="845"/>
      <c r="W50" s="845"/>
      <c r="X50" s="845"/>
      <c r="Y50" s="845"/>
      <c r="Z50" s="845"/>
      <c r="AA50" s="845"/>
      <c r="AB50" s="139"/>
      <c r="AC50" s="139"/>
      <c r="AD50" s="139"/>
      <c r="AE50" s="139"/>
      <c r="AF50" s="139"/>
      <c r="AG50" s="138"/>
      <c r="AH50" s="845"/>
      <c r="AI50" s="845"/>
      <c r="AJ50" s="845"/>
      <c r="AK50" s="845"/>
      <c r="AL50" s="845"/>
      <c r="AM50" s="845"/>
      <c r="AN50" s="845"/>
      <c r="AO50" s="845"/>
      <c r="AP50" s="845"/>
      <c r="AQ50" s="140"/>
    </row>
    <row r="51" spans="2:43" ht="13.8" x14ac:dyDescent="0.3">
      <c r="B51" s="137"/>
      <c r="C51" s="845"/>
      <c r="D51" s="845"/>
      <c r="E51" s="845"/>
      <c r="F51" s="845"/>
      <c r="G51" s="845"/>
      <c r="H51" s="845"/>
      <c r="I51" s="845"/>
      <c r="J51" s="845"/>
      <c r="K51" s="845"/>
      <c r="L51" s="138"/>
      <c r="M51" s="138"/>
      <c r="N51" s="139"/>
      <c r="O51" s="139"/>
      <c r="P51" s="139"/>
      <c r="Q51" s="139"/>
      <c r="R51" s="845"/>
      <c r="S51" s="845"/>
      <c r="T51" s="845"/>
      <c r="U51" s="845"/>
      <c r="V51" s="845"/>
      <c r="W51" s="845"/>
      <c r="X51" s="845"/>
      <c r="Y51" s="845"/>
      <c r="Z51" s="845"/>
      <c r="AA51" s="845"/>
      <c r="AB51" s="139"/>
      <c r="AC51" s="139"/>
      <c r="AD51" s="139"/>
      <c r="AE51" s="139"/>
      <c r="AF51" s="139"/>
      <c r="AG51" s="138"/>
      <c r="AH51" s="845"/>
      <c r="AI51" s="845"/>
      <c r="AJ51" s="845"/>
      <c r="AK51" s="845"/>
      <c r="AL51" s="845"/>
      <c r="AM51" s="845"/>
      <c r="AN51" s="845"/>
      <c r="AO51" s="845"/>
      <c r="AP51" s="845"/>
      <c r="AQ51" s="140"/>
    </row>
    <row r="52" spans="2:43" ht="14.4" thickBot="1" x14ac:dyDescent="0.35">
      <c r="B52" s="137"/>
      <c r="C52" s="863" t="s">
        <v>533</v>
      </c>
      <c r="D52" s="863"/>
      <c r="E52" s="863"/>
      <c r="F52" s="863"/>
      <c r="G52" s="863"/>
      <c r="H52" s="863"/>
      <c r="I52" s="863"/>
      <c r="J52" s="863"/>
      <c r="K52" s="863"/>
      <c r="L52" s="138"/>
      <c r="M52" s="138"/>
      <c r="N52" s="138"/>
      <c r="O52" s="138"/>
      <c r="P52" s="138"/>
      <c r="Q52" s="138"/>
      <c r="R52" s="863" t="s">
        <v>533</v>
      </c>
      <c r="S52" s="863"/>
      <c r="T52" s="863"/>
      <c r="U52" s="863"/>
      <c r="V52" s="863"/>
      <c r="W52" s="863"/>
      <c r="X52" s="863"/>
      <c r="Y52" s="863"/>
      <c r="Z52" s="863"/>
      <c r="AA52" s="863"/>
      <c r="AB52" s="138"/>
      <c r="AC52" s="138"/>
      <c r="AD52" s="138"/>
      <c r="AE52" s="138"/>
      <c r="AF52" s="138"/>
      <c r="AG52" s="138"/>
      <c r="AH52" s="863" t="s">
        <v>533</v>
      </c>
      <c r="AI52" s="863"/>
      <c r="AJ52" s="863"/>
      <c r="AK52" s="863"/>
      <c r="AL52" s="863"/>
      <c r="AM52" s="863"/>
      <c r="AN52" s="863"/>
      <c r="AO52" s="863"/>
      <c r="AP52" s="863"/>
      <c r="AQ52" s="140"/>
    </row>
    <row r="53" spans="2:43" ht="13.8" x14ac:dyDescent="0.3">
      <c r="B53" s="137"/>
      <c r="C53" s="865" t="s">
        <v>534</v>
      </c>
      <c r="D53" s="865"/>
      <c r="E53" s="865"/>
      <c r="F53" s="865"/>
      <c r="G53" s="865"/>
      <c r="H53" s="865"/>
      <c r="I53" s="865"/>
      <c r="J53" s="865"/>
      <c r="K53" s="865"/>
      <c r="L53" s="138"/>
      <c r="M53" s="138"/>
      <c r="N53" s="138"/>
      <c r="O53" s="138"/>
      <c r="P53" s="138"/>
      <c r="Q53" s="138"/>
      <c r="R53" s="865" t="s">
        <v>535</v>
      </c>
      <c r="S53" s="865"/>
      <c r="T53" s="865"/>
      <c r="U53" s="865"/>
      <c r="V53" s="865"/>
      <c r="W53" s="865"/>
      <c r="X53" s="865"/>
      <c r="Y53" s="865"/>
      <c r="Z53" s="865"/>
      <c r="AA53" s="865"/>
      <c r="AB53" s="138"/>
      <c r="AC53" s="138"/>
      <c r="AD53" s="138"/>
      <c r="AE53" s="138"/>
      <c r="AF53" s="138"/>
      <c r="AG53" s="138"/>
      <c r="AH53" s="865" t="s">
        <v>536</v>
      </c>
      <c r="AI53" s="865"/>
      <c r="AJ53" s="865"/>
      <c r="AK53" s="865"/>
      <c r="AL53" s="865"/>
      <c r="AM53" s="865"/>
      <c r="AN53" s="865"/>
      <c r="AO53" s="865"/>
      <c r="AP53" s="865"/>
      <c r="AQ53" s="140"/>
    </row>
    <row r="54" spans="2:43" ht="13.8" x14ac:dyDescent="0.3">
      <c r="B54" s="137"/>
      <c r="C54" s="845"/>
      <c r="D54" s="845"/>
      <c r="E54" s="845"/>
      <c r="F54" s="845"/>
      <c r="G54" s="845"/>
      <c r="H54" s="845"/>
      <c r="I54" s="845"/>
      <c r="J54" s="845"/>
      <c r="K54" s="845"/>
      <c r="L54" s="138"/>
      <c r="M54" s="138"/>
      <c r="N54" s="138"/>
      <c r="O54" s="138"/>
      <c r="P54" s="138"/>
      <c r="Q54" s="138"/>
      <c r="R54" s="866"/>
      <c r="S54" s="866"/>
      <c r="T54" s="866"/>
      <c r="U54" s="866"/>
      <c r="V54" s="866"/>
      <c r="W54" s="866"/>
      <c r="X54" s="866"/>
      <c r="Y54" s="866"/>
      <c r="Z54" s="866"/>
      <c r="AA54" s="866"/>
      <c r="AB54" s="138"/>
      <c r="AC54" s="138"/>
      <c r="AD54" s="138"/>
      <c r="AE54" s="138"/>
      <c r="AF54" s="138"/>
      <c r="AG54" s="138"/>
      <c r="AH54" s="866"/>
      <c r="AI54" s="866"/>
      <c r="AJ54" s="866"/>
      <c r="AK54" s="866"/>
      <c r="AL54" s="866"/>
      <c r="AM54" s="866"/>
      <c r="AN54" s="866"/>
      <c r="AO54" s="866"/>
      <c r="AP54" s="866"/>
      <c r="AQ54" s="140"/>
    </row>
    <row r="55" spans="2:43" ht="13.8" x14ac:dyDescent="0.3">
      <c r="B55" s="137"/>
      <c r="C55" s="864" t="s">
        <v>537</v>
      </c>
      <c r="D55" s="864"/>
      <c r="E55" s="864"/>
      <c r="F55" s="864"/>
      <c r="G55" s="864"/>
      <c r="H55" s="864"/>
      <c r="I55" s="864"/>
      <c r="J55" s="864"/>
      <c r="K55" s="864"/>
      <c r="L55" s="138"/>
      <c r="M55" s="138"/>
      <c r="N55" s="138"/>
      <c r="O55" s="138"/>
      <c r="P55" s="138"/>
      <c r="Q55" s="138"/>
      <c r="R55" s="864" t="s">
        <v>537</v>
      </c>
      <c r="S55" s="864"/>
      <c r="T55" s="864"/>
      <c r="U55" s="864"/>
      <c r="V55" s="864"/>
      <c r="W55" s="864"/>
      <c r="X55" s="864"/>
      <c r="Y55" s="864"/>
      <c r="Z55" s="864"/>
      <c r="AA55" s="864"/>
      <c r="AB55" s="138"/>
      <c r="AC55" s="138"/>
      <c r="AD55" s="138"/>
      <c r="AE55" s="138"/>
      <c r="AF55" s="138"/>
      <c r="AG55" s="138"/>
      <c r="AH55" s="864" t="s">
        <v>537</v>
      </c>
      <c r="AI55" s="864"/>
      <c r="AJ55" s="864"/>
      <c r="AK55" s="864"/>
      <c r="AL55" s="864"/>
      <c r="AM55" s="864"/>
      <c r="AN55" s="864"/>
      <c r="AO55" s="864"/>
      <c r="AP55" s="864"/>
      <c r="AQ55" s="140"/>
    </row>
    <row r="56" spans="2:43" ht="3" customHeight="1" x14ac:dyDescent="0.3">
      <c r="B56" s="141"/>
      <c r="C56" s="142"/>
      <c r="D56" s="142"/>
      <c r="E56" s="142"/>
      <c r="F56" s="143"/>
      <c r="G56" s="143"/>
      <c r="H56" s="144"/>
      <c r="I56" s="144"/>
      <c r="J56" s="145"/>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6"/>
    </row>
  </sheetData>
  <mergeCells count="207">
    <mergeCell ref="C55:K55"/>
    <mergeCell ref="R55:AA55"/>
    <mergeCell ref="AH55:AP55"/>
    <mergeCell ref="C53:K53"/>
    <mergeCell ref="R53:AA53"/>
    <mergeCell ref="AH53:AP53"/>
    <mergeCell ref="C54:K54"/>
    <mergeCell ref="R54:AA54"/>
    <mergeCell ref="AH54:AP54"/>
    <mergeCell ref="C51:K51"/>
    <mergeCell ref="R51:AA51"/>
    <mergeCell ref="AH51:AP51"/>
    <mergeCell ref="C52:K52"/>
    <mergeCell ref="R52:AA52"/>
    <mergeCell ref="AH52:AP52"/>
    <mergeCell ref="C49:K49"/>
    <mergeCell ref="R49:AA49"/>
    <mergeCell ref="AH49:AP49"/>
    <mergeCell ref="C50:K50"/>
    <mergeCell ref="R50:AA50"/>
    <mergeCell ref="AH50:AP50"/>
    <mergeCell ref="C47:K47"/>
    <mergeCell ref="R47:AA47"/>
    <mergeCell ref="AH47:AP47"/>
    <mergeCell ref="C48:K48"/>
    <mergeCell ref="R48:AA48"/>
    <mergeCell ref="AH48:AP48"/>
    <mergeCell ref="B38:X38"/>
    <mergeCell ref="Z38:AK38"/>
    <mergeCell ref="AL38:AQ38"/>
    <mergeCell ref="B40:AQ43"/>
    <mergeCell ref="B44:AQ44"/>
    <mergeCell ref="B46:AQ46"/>
    <mergeCell ref="AL35:AQ35"/>
    <mergeCell ref="C36:D36"/>
    <mergeCell ref="E36:G36"/>
    <mergeCell ref="H36:Y36"/>
    <mergeCell ref="Z36:AB36"/>
    <mergeCell ref="AC36:AE36"/>
    <mergeCell ref="AF36:AK36"/>
    <mergeCell ref="AL36:AQ36"/>
    <mergeCell ref="C35:D35"/>
    <mergeCell ref="E35:G35"/>
    <mergeCell ref="H35:Y35"/>
    <mergeCell ref="Z35:AB35"/>
    <mergeCell ref="AC35:AE35"/>
    <mergeCell ref="AF35:AK35"/>
    <mergeCell ref="AL33:AQ33"/>
    <mergeCell ref="C34:D34"/>
    <mergeCell ref="E34:G34"/>
    <mergeCell ref="H34:Y34"/>
    <mergeCell ref="Z34:AB34"/>
    <mergeCell ref="AC34:AE34"/>
    <mergeCell ref="AF34:AK34"/>
    <mergeCell ref="AL34:AQ34"/>
    <mergeCell ref="C33:D33"/>
    <mergeCell ref="E33:G33"/>
    <mergeCell ref="H33:Y33"/>
    <mergeCell ref="Z33:AB33"/>
    <mergeCell ref="AC33:AE33"/>
    <mergeCell ref="AF33:AK33"/>
    <mergeCell ref="AL31:AQ31"/>
    <mergeCell ref="C32:D32"/>
    <mergeCell ref="E32:G32"/>
    <mergeCell ref="H32:Y32"/>
    <mergeCell ref="Z32:AB32"/>
    <mergeCell ref="AC32:AE32"/>
    <mergeCell ref="AF32:AK32"/>
    <mergeCell ref="AL32:AQ32"/>
    <mergeCell ref="C31:D31"/>
    <mergeCell ref="E31:G31"/>
    <mergeCell ref="H31:Y31"/>
    <mergeCell ref="Z31:AB31"/>
    <mergeCell ref="AC31:AE31"/>
    <mergeCell ref="AF31:AK31"/>
    <mergeCell ref="AL29:AQ29"/>
    <mergeCell ref="C30:D30"/>
    <mergeCell ref="E30:G30"/>
    <mergeCell ref="H30:Y30"/>
    <mergeCell ref="Z30:AB30"/>
    <mergeCell ref="AC30:AE30"/>
    <mergeCell ref="AF30:AK30"/>
    <mergeCell ref="AL30:AQ30"/>
    <mergeCell ref="C29:D29"/>
    <mergeCell ref="E29:G29"/>
    <mergeCell ref="H29:Y29"/>
    <mergeCell ref="Z29:AB29"/>
    <mergeCell ref="AC29:AE29"/>
    <mergeCell ref="AF29:AK29"/>
    <mergeCell ref="AL27:AQ27"/>
    <mergeCell ref="C28:D28"/>
    <mergeCell ref="E28:G28"/>
    <mergeCell ref="H28:Y28"/>
    <mergeCell ref="Z28:AB28"/>
    <mergeCell ref="AC28:AE28"/>
    <mergeCell ref="AF28:AK28"/>
    <mergeCell ref="AL28:AQ28"/>
    <mergeCell ref="C27:D27"/>
    <mergeCell ref="E27:G27"/>
    <mergeCell ref="H27:Y27"/>
    <mergeCell ref="Z27:AB27"/>
    <mergeCell ref="AC27:AE27"/>
    <mergeCell ref="AF27:AK27"/>
    <mergeCell ref="AL25:AQ25"/>
    <mergeCell ref="C26:D26"/>
    <mergeCell ref="E26:G26"/>
    <mergeCell ref="H26:Y26"/>
    <mergeCell ref="Z26:AB26"/>
    <mergeCell ref="AC26:AE26"/>
    <mergeCell ref="AF26:AK26"/>
    <mergeCell ref="AL26:AQ26"/>
    <mergeCell ref="C25:D25"/>
    <mergeCell ref="E25:G25"/>
    <mergeCell ref="H25:Y25"/>
    <mergeCell ref="Z25:AB25"/>
    <mergeCell ref="AC25:AE25"/>
    <mergeCell ref="AF25:AK25"/>
    <mergeCell ref="AL23:AQ23"/>
    <mergeCell ref="C24:D24"/>
    <mergeCell ref="E24:G24"/>
    <mergeCell ref="H24:Y24"/>
    <mergeCell ref="Z24:AB24"/>
    <mergeCell ref="AC24:AE24"/>
    <mergeCell ref="AF24:AK24"/>
    <mergeCell ref="AL24:AQ24"/>
    <mergeCell ref="C23:D23"/>
    <mergeCell ref="E23:G23"/>
    <mergeCell ref="H23:Y23"/>
    <mergeCell ref="Z23:AB23"/>
    <mergeCell ref="AC23:AE23"/>
    <mergeCell ref="AF23:AK23"/>
    <mergeCell ref="AL21:AQ21"/>
    <mergeCell ref="C22:D22"/>
    <mergeCell ref="E22:G22"/>
    <mergeCell ref="H22:Y22"/>
    <mergeCell ref="Z22:AB22"/>
    <mergeCell ref="AC22:AE22"/>
    <mergeCell ref="AF22:AK22"/>
    <mergeCell ref="AL22:AQ22"/>
    <mergeCell ref="C21:D21"/>
    <mergeCell ref="E21:G21"/>
    <mergeCell ref="H21:Y21"/>
    <mergeCell ref="Z21:AB21"/>
    <mergeCell ref="AC21:AE21"/>
    <mergeCell ref="AF21:AK21"/>
    <mergeCell ref="AL19:AQ19"/>
    <mergeCell ref="C20:D20"/>
    <mergeCell ref="E20:G20"/>
    <mergeCell ref="H20:Y20"/>
    <mergeCell ref="Z20:AB20"/>
    <mergeCell ref="AC20:AE20"/>
    <mergeCell ref="AF20:AK20"/>
    <mergeCell ref="AL20:AQ20"/>
    <mergeCell ref="C19:D19"/>
    <mergeCell ref="E19:G19"/>
    <mergeCell ref="H19:Y19"/>
    <mergeCell ref="Z19:AB19"/>
    <mergeCell ref="AC19:AE19"/>
    <mergeCell ref="AF19:AK19"/>
    <mergeCell ref="AL17:AQ17"/>
    <mergeCell ref="C18:D18"/>
    <mergeCell ref="E18:G18"/>
    <mergeCell ref="H18:Y18"/>
    <mergeCell ref="Z18:AB18"/>
    <mergeCell ref="AC18:AE18"/>
    <mergeCell ref="AF18:AK18"/>
    <mergeCell ref="AL18:AQ18"/>
    <mergeCell ref="C17:D17"/>
    <mergeCell ref="E17:G17"/>
    <mergeCell ref="H17:Y17"/>
    <mergeCell ref="Z17:AB17"/>
    <mergeCell ref="AC17:AE17"/>
    <mergeCell ref="AF17:AK17"/>
    <mergeCell ref="AL15:AQ15"/>
    <mergeCell ref="C16:D16"/>
    <mergeCell ref="E16:G16"/>
    <mergeCell ref="H16:Y16"/>
    <mergeCell ref="Z16:AB16"/>
    <mergeCell ref="AC16:AE16"/>
    <mergeCell ref="AF16:AK16"/>
    <mergeCell ref="AL16:AQ16"/>
    <mergeCell ref="B15:D15"/>
    <mergeCell ref="E15:G15"/>
    <mergeCell ref="H15:Y15"/>
    <mergeCell ref="Z15:AB15"/>
    <mergeCell ref="AC15:AE15"/>
    <mergeCell ref="AF15:AK15"/>
    <mergeCell ref="B13:H13"/>
    <mergeCell ref="I13:AQ13"/>
    <mergeCell ref="B8:F8"/>
    <mergeCell ref="G8:AQ8"/>
    <mergeCell ref="B9:F9"/>
    <mergeCell ref="G9:L9"/>
    <mergeCell ref="M9:N9"/>
    <mergeCell ref="O9:V9"/>
    <mergeCell ref="W9:Y9"/>
    <mergeCell ref="Z9:AQ9"/>
    <mergeCell ref="B1:I1"/>
    <mergeCell ref="J1:AQ1"/>
    <mergeCell ref="B3:M4"/>
    <mergeCell ref="N3:Y4"/>
    <mergeCell ref="B5:M6"/>
    <mergeCell ref="N5:Y6"/>
    <mergeCell ref="B10:F10"/>
    <mergeCell ref="G10:V10"/>
    <mergeCell ref="W10:Y10"/>
    <mergeCell ref="Z10:AQ10"/>
  </mergeCells>
  <dataValidations disablePrompts="1" count="1">
    <dataValidation type="textLength" operator="lessThanOrEqual" allowBlank="1" showInputMessage="1" showErrorMessage="1"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xr:uid="{00000000-0002-0000-0100-000000000000}">
      <formula1>4</formula1>
    </dataValidation>
  </dataValidations>
  <hyperlinks>
    <hyperlink ref="Z9" r:id="rId1" xr:uid="{00000000-0004-0000-0100-000000000000}"/>
  </hyperlinks>
  <pageMargins left="0.51181102362204722" right="0.51181102362204722" top="0.78740157480314965" bottom="0.78740157480314965" header="0.31496062992125984" footer="0.31496062992125984"/>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9457" r:id="rId5" name="Group Box 1">
              <controlPr defaultSize="0" autoFill="0" autoPict="0">
                <anchor moveWithCells="1" sizeWithCells="1">
                  <from>
                    <xdr:col>26</xdr:col>
                    <xdr:colOff>99060</xdr:colOff>
                    <xdr:row>2</xdr:row>
                    <xdr:rowOff>114300</xdr:rowOff>
                  </from>
                  <to>
                    <xdr:col>42</xdr:col>
                    <xdr:colOff>106680</xdr:colOff>
                    <xdr:row>5</xdr:row>
                    <xdr:rowOff>60960</xdr:rowOff>
                  </to>
                </anchor>
              </controlPr>
            </control>
          </mc:Choice>
        </mc:AlternateContent>
        <mc:AlternateContent xmlns:mc="http://schemas.openxmlformats.org/markup-compatibility/2006">
          <mc:Choice Requires="x14">
            <control shapeId="19458" r:id="rId6" name="Option Button 2">
              <controlPr defaultSize="0" autoFill="0" autoLine="0" autoPict="0">
                <anchor moveWithCells="1" sizeWithCells="1">
                  <from>
                    <xdr:col>26</xdr:col>
                    <xdr:colOff>152400</xdr:colOff>
                    <xdr:row>3</xdr:row>
                    <xdr:rowOff>22860</xdr:rowOff>
                  </from>
                  <to>
                    <xdr:col>30</xdr:col>
                    <xdr:colOff>99060</xdr:colOff>
                    <xdr:row>5</xdr:row>
                    <xdr:rowOff>7620</xdr:rowOff>
                  </to>
                </anchor>
              </controlPr>
            </control>
          </mc:Choice>
        </mc:AlternateContent>
        <mc:AlternateContent xmlns:mc="http://schemas.openxmlformats.org/markup-compatibility/2006">
          <mc:Choice Requires="x14">
            <control shapeId="19459" r:id="rId7" name="Option Button 3">
              <controlPr defaultSize="0" autoFill="0" autoLine="0" autoPict="0">
                <anchor moveWithCells="1" sizeWithCells="1">
                  <from>
                    <xdr:col>30</xdr:col>
                    <xdr:colOff>266700</xdr:colOff>
                    <xdr:row>3</xdr:row>
                    <xdr:rowOff>22860</xdr:rowOff>
                  </from>
                  <to>
                    <xdr:col>35</xdr:col>
                    <xdr:colOff>167640</xdr:colOff>
                    <xdr:row>5</xdr:row>
                    <xdr:rowOff>7620</xdr:rowOff>
                  </to>
                </anchor>
              </controlPr>
            </control>
          </mc:Choice>
        </mc:AlternateContent>
        <mc:AlternateContent xmlns:mc="http://schemas.openxmlformats.org/markup-compatibility/2006">
          <mc:Choice Requires="x14">
            <control shapeId="19460" r:id="rId8" name="Option Button 4">
              <controlPr defaultSize="0" autoFill="0" autoLine="0" autoPict="0">
                <anchor moveWithCells="1" sizeWithCells="1">
                  <from>
                    <xdr:col>36</xdr:col>
                    <xdr:colOff>182880</xdr:colOff>
                    <xdr:row>3</xdr:row>
                    <xdr:rowOff>22860</xdr:rowOff>
                  </from>
                  <to>
                    <xdr:col>42</xdr:col>
                    <xdr:colOff>38100</xdr:colOff>
                    <xdr:row>5</xdr:row>
                    <xdr:rowOff>7620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20"/>
  <dimension ref="A1:AL43"/>
  <sheetViews>
    <sheetView showGridLines="0" topLeftCell="V1" zoomScale="85" zoomScaleNormal="85" workbookViewId="0">
      <selection activeCell="J27" sqref="J27"/>
    </sheetView>
  </sheetViews>
  <sheetFormatPr defaultColWidth="9.109375" defaultRowHeight="14.4" x14ac:dyDescent="0.3"/>
  <cols>
    <col min="1" max="1" width="8.88671875" style="378" customWidth="1"/>
    <col min="2" max="2" width="10.33203125" style="378" customWidth="1"/>
    <col min="3" max="3" width="14.44140625" style="378" customWidth="1"/>
    <col min="4" max="4" width="24.109375" style="378" bestFit="1" customWidth="1"/>
    <col min="5" max="5" width="16.33203125" style="378" bestFit="1" customWidth="1"/>
    <col min="6" max="6" width="15.44140625" style="378" bestFit="1" customWidth="1"/>
    <col min="7" max="7" width="17.33203125" style="378" bestFit="1" customWidth="1"/>
    <col min="8" max="8" width="17.6640625" style="378" bestFit="1" customWidth="1"/>
    <col min="9" max="9" width="12" style="378" bestFit="1" customWidth="1"/>
    <col min="10" max="10" width="12.33203125" style="378" bestFit="1" customWidth="1"/>
    <col min="11" max="11" width="13.44140625" style="378" bestFit="1" customWidth="1"/>
    <col min="12" max="12" width="16.44140625" style="378" bestFit="1" customWidth="1"/>
    <col min="13" max="13" width="9.109375" style="378"/>
    <col min="14" max="14" width="11.33203125" style="378" customWidth="1"/>
    <col min="15" max="15" width="13.88671875" style="378" bestFit="1" customWidth="1"/>
    <col min="16" max="16" width="24.109375" style="378" bestFit="1" customWidth="1"/>
    <col min="17" max="17" width="15.44140625" style="378" bestFit="1" customWidth="1"/>
    <col min="18" max="18" width="15.88671875" style="378" bestFit="1" customWidth="1"/>
    <col min="19" max="19" width="12" style="378" bestFit="1" customWidth="1"/>
    <col min="20" max="20" width="16.5546875" style="378" bestFit="1" customWidth="1"/>
    <col min="21" max="21" width="17.33203125" style="378" customWidth="1"/>
    <col min="22" max="22" width="11.33203125" style="378" bestFit="1" customWidth="1"/>
    <col min="23" max="23" width="15.5546875" style="378" bestFit="1" customWidth="1"/>
    <col min="24" max="24" width="15.44140625" style="378" bestFit="1" customWidth="1"/>
    <col min="25" max="25" width="9.109375" style="378"/>
    <col min="26" max="26" width="11.6640625" style="378" bestFit="1" customWidth="1"/>
    <col min="27" max="27" width="9.109375" style="378"/>
    <col min="28" max="28" width="14.88671875" style="378" bestFit="1" customWidth="1"/>
    <col min="29" max="29" width="15.5546875" style="378" bestFit="1" customWidth="1"/>
    <col min="30" max="31" width="14" style="378" bestFit="1" customWidth="1"/>
    <col min="32" max="32" width="14.33203125" style="378" bestFit="1" customWidth="1"/>
    <col min="33" max="33" width="14" style="378" bestFit="1" customWidth="1"/>
    <col min="34" max="34" width="15.5546875" style="378" bestFit="1" customWidth="1"/>
    <col min="35" max="35" width="9.109375" style="378"/>
    <col min="36" max="36" width="14.33203125" style="378" bestFit="1" customWidth="1"/>
    <col min="37" max="16384" width="9.109375" style="378"/>
  </cols>
  <sheetData>
    <row r="1" spans="2:38" x14ac:dyDescent="0.3">
      <c r="B1" s="1070" t="s">
        <v>446</v>
      </c>
      <c r="C1" s="1071"/>
      <c r="D1" s="1071"/>
      <c r="E1" s="1071"/>
      <c r="F1" s="1071"/>
      <c r="G1" s="1071"/>
      <c r="H1" s="1071"/>
      <c r="I1" s="1071"/>
      <c r="J1" s="1071"/>
      <c r="K1" s="1071"/>
      <c r="L1" s="1072"/>
      <c r="N1" s="1073" t="s">
        <v>662</v>
      </c>
      <c r="O1" s="1074"/>
      <c r="P1" s="1074"/>
      <c r="Q1" s="1074"/>
      <c r="R1" s="1074"/>
      <c r="S1" s="1074"/>
      <c r="T1" s="1074"/>
      <c r="U1" s="1074"/>
      <c r="V1" s="1074"/>
      <c r="W1" s="1074"/>
      <c r="X1" s="1075"/>
      <c r="Z1" s="379" t="s">
        <v>663</v>
      </c>
      <c r="AA1" s="379">
        <v>0.5</v>
      </c>
      <c r="AC1" s="379" t="s">
        <v>664</v>
      </c>
      <c r="AD1" s="379">
        <v>1.28298687</v>
      </c>
      <c r="AF1" s="379" t="s">
        <v>665</v>
      </c>
      <c r="AG1" s="379" t="e">
        <f>((D13+D21)/AD3)/(AD1*22)</f>
        <v>#REF!</v>
      </c>
    </row>
    <row r="2" spans="2:38" ht="6.6" customHeight="1" x14ac:dyDescent="0.3">
      <c r="B2" s="380"/>
      <c r="L2" s="381"/>
      <c r="N2" s="380"/>
      <c r="X2" s="381"/>
    </row>
    <row r="3" spans="2:38" ht="16.2" customHeight="1" x14ac:dyDescent="0.3">
      <c r="B3" s="1076" t="s">
        <v>666</v>
      </c>
      <c r="C3" s="1077"/>
      <c r="D3" s="1077"/>
      <c r="E3" s="1077"/>
      <c r="F3" s="1077"/>
      <c r="G3" s="1077"/>
      <c r="H3" s="1077"/>
      <c r="I3" s="1077"/>
      <c r="J3" s="1077"/>
      <c r="K3" s="1077"/>
      <c r="L3" s="1078"/>
      <c r="N3" s="1079" t="s">
        <v>666</v>
      </c>
      <c r="O3" s="1080"/>
      <c r="P3" s="1080"/>
      <c r="Q3" s="1080"/>
      <c r="R3" s="1080"/>
      <c r="S3" s="1080"/>
      <c r="T3" s="1080"/>
      <c r="U3" s="1080"/>
      <c r="V3" s="1080"/>
      <c r="W3" s="1080"/>
      <c r="X3" s="1081"/>
      <c r="AC3" s="379" t="s">
        <v>667</v>
      </c>
      <c r="AD3" s="379">
        <v>6</v>
      </c>
      <c r="AE3" s="378">
        <f>AD1/8.8</f>
        <v>0.14579396249999999</v>
      </c>
    </row>
    <row r="4" spans="2:38" x14ac:dyDescent="0.3">
      <c r="B4" s="382" t="s">
        <v>668</v>
      </c>
      <c r="C4" s="383" t="s">
        <v>669</v>
      </c>
      <c r="D4" s="383" t="s">
        <v>670</v>
      </c>
      <c r="E4" s="383" t="s">
        <v>671</v>
      </c>
      <c r="F4" s="383" t="s">
        <v>672</v>
      </c>
      <c r="G4" s="383" t="s">
        <v>673</v>
      </c>
      <c r="H4" s="383" t="s">
        <v>674</v>
      </c>
      <c r="I4" s="383" t="s">
        <v>675</v>
      </c>
      <c r="J4" s="383" t="s">
        <v>676</v>
      </c>
      <c r="K4" s="383" t="s">
        <v>677</v>
      </c>
      <c r="L4" s="384" t="s">
        <v>678</v>
      </c>
      <c r="N4" s="382" t="s">
        <v>668</v>
      </c>
      <c r="O4" s="383" t="s">
        <v>669</v>
      </c>
      <c r="P4" s="383" t="s">
        <v>670</v>
      </c>
      <c r="Q4" s="383" t="s">
        <v>671</v>
      </c>
      <c r="R4" s="383" t="s">
        <v>672</v>
      </c>
      <c r="S4" s="383" t="s">
        <v>673</v>
      </c>
      <c r="T4" s="383" t="s">
        <v>674</v>
      </c>
      <c r="U4" s="383" t="s">
        <v>675</v>
      </c>
      <c r="V4" s="383" t="s">
        <v>676</v>
      </c>
      <c r="W4" s="383" t="s">
        <v>677</v>
      </c>
      <c r="X4" s="384" t="s">
        <v>678</v>
      </c>
    </row>
    <row r="5" spans="2:38" x14ac:dyDescent="0.3">
      <c r="B5" s="385" t="s">
        <v>679</v>
      </c>
      <c r="C5" s="386">
        <v>3474</v>
      </c>
      <c r="D5" s="387" t="e">
        <f>#REF!</f>
        <v>#REF!</v>
      </c>
      <c r="E5" s="388" t="e">
        <f t="shared" ref="E5:E12" si="0">D5*C5</f>
        <v>#REF!</v>
      </c>
      <c r="F5" s="386">
        <v>11000</v>
      </c>
      <c r="G5" s="386" t="e">
        <f t="shared" ref="G5:G12" si="1">E5/F5</f>
        <v>#REF!</v>
      </c>
      <c r="H5" s="386">
        <v>0.7</v>
      </c>
      <c r="I5" s="386" t="e">
        <f t="shared" ref="I5:I12" si="2">G5/H5</f>
        <v>#REF!</v>
      </c>
      <c r="J5" s="389" t="e">
        <f t="shared" ref="J5:J12" si="3">I5*24*365</f>
        <v>#REF!</v>
      </c>
      <c r="K5" s="386">
        <v>2.5</v>
      </c>
      <c r="L5" s="390" t="e">
        <f t="shared" ref="L5:L12" si="4">J5*K5*$AA$1</f>
        <v>#REF!</v>
      </c>
      <c r="N5" s="385" t="str">
        <f>B5</f>
        <v>3"</v>
      </c>
      <c r="O5" s="386">
        <f>'calc. perda energ'!C10</f>
        <v>126.273</v>
      </c>
      <c r="P5" s="387" t="e">
        <f>D5</f>
        <v>#REF!</v>
      </c>
      <c r="Q5" s="386" t="e">
        <f t="shared" ref="Q5:Q12" si="5">P5*O5</f>
        <v>#REF!</v>
      </c>
      <c r="R5" s="386">
        <v>11000</v>
      </c>
      <c r="S5" s="386" t="e">
        <f t="shared" ref="S5:S12" si="6">Q5/R5</f>
        <v>#REF!</v>
      </c>
      <c r="T5" s="386">
        <v>0.7</v>
      </c>
      <c r="U5" s="386" t="e">
        <f t="shared" ref="U5:U12" si="7">S5/T5</f>
        <v>#REF!</v>
      </c>
      <c r="V5" s="389" t="e">
        <f t="shared" ref="V5:V12" si="8">U5*24*365</f>
        <v>#REF!</v>
      </c>
      <c r="W5" s="386">
        <v>2.5</v>
      </c>
      <c r="X5" s="391" t="e">
        <f t="shared" ref="X5:X12" si="9">V5*W5*$AA$1</f>
        <v>#REF!</v>
      </c>
    </row>
    <row r="6" spans="2:38" x14ac:dyDescent="0.3">
      <c r="B6" s="385" t="s">
        <v>680</v>
      </c>
      <c r="C6" s="386">
        <v>3403</v>
      </c>
      <c r="D6" s="387" t="e">
        <f>#REF!</f>
        <v>#REF!</v>
      </c>
      <c r="E6" s="388" t="e">
        <f t="shared" si="0"/>
        <v>#REF!</v>
      </c>
      <c r="F6" s="386">
        <v>11000</v>
      </c>
      <c r="G6" s="386" t="e">
        <f t="shared" si="1"/>
        <v>#REF!</v>
      </c>
      <c r="H6" s="386">
        <v>0.7</v>
      </c>
      <c r="I6" s="386" t="e">
        <f t="shared" si="2"/>
        <v>#REF!</v>
      </c>
      <c r="J6" s="389" t="e">
        <f t="shared" si="3"/>
        <v>#REF!</v>
      </c>
      <c r="K6" s="386">
        <v>2.5</v>
      </c>
      <c r="L6" s="390" t="e">
        <f t="shared" si="4"/>
        <v>#REF!</v>
      </c>
      <c r="N6" s="385" t="str">
        <f t="shared" ref="N6:N12" si="10">B6</f>
        <v>6"</v>
      </c>
      <c r="O6" s="386">
        <f>'calc. perda energ'!F10</f>
        <v>145.17099999999999</v>
      </c>
      <c r="P6" s="387" t="e">
        <f t="shared" ref="P6:P12" si="11">D6</f>
        <v>#REF!</v>
      </c>
      <c r="Q6" s="386" t="e">
        <f t="shared" si="5"/>
        <v>#REF!</v>
      </c>
      <c r="R6" s="386">
        <v>11000</v>
      </c>
      <c r="S6" s="386" t="e">
        <f t="shared" si="6"/>
        <v>#REF!</v>
      </c>
      <c r="T6" s="386">
        <v>0.7</v>
      </c>
      <c r="U6" s="386" t="e">
        <f t="shared" si="7"/>
        <v>#REF!</v>
      </c>
      <c r="V6" s="389" t="e">
        <f t="shared" si="8"/>
        <v>#REF!</v>
      </c>
      <c r="W6" s="386">
        <v>2.5</v>
      </c>
      <c r="X6" s="391" t="e">
        <f t="shared" si="9"/>
        <v>#REF!</v>
      </c>
      <c r="Z6" s="378">
        <f>2.5/2</f>
        <v>1.25</v>
      </c>
    </row>
    <row r="7" spans="2:38" x14ac:dyDescent="0.3">
      <c r="B7" s="385" t="s">
        <v>443</v>
      </c>
      <c r="C7" s="386">
        <v>3361</v>
      </c>
      <c r="D7" s="387" t="e">
        <f>#REF!</f>
        <v>#REF!</v>
      </c>
      <c r="E7" s="388" t="e">
        <f t="shared" si="0"/>
        <v>#REF!</v>
      </c>
      <c r="F7" s="386">
        <v>11000</v>
      </c>
      <c r="G7" s="386" t="e">
        <f t="shared" si="1"/>
        <v>#REF!</v>
      </c>
      <c r="H7" s="386">
        <v>0.7</v>
      </c>
      <c r="I7" s="386" t="e">
        <f t="shared" si="2"/>
        <v>#REF!</v>
      </c>
      <c r="J7" s="389" t="e">
        <f t="shared" si="3"/>
        <v>#REF!</v>
      </c>
      <c r="K7" s="386">
        <v>2.5</v>
      </c>
      <c r="L7" s="390" t="e">
        <f t="shared" si="4"/>
        <v>#REF!</v>
      </c>
      <c r="N7" s="385" t="str">
        <f t="shared" si="10"/>
        <v>10"</v>
      </c>
      <c r="O7" s="386">
        <f>'calc. perda energ'!I10</f>
        <v>159.774</v>
      </c>
      <c r="P7" s="387" t="e">
        <f t="shared" si="11"/>
        <v>#REF!</v>
      </c>
      <c r="Q7" s="386" t="e">
        <f t="shared" si="5"/>
        <v>#REF!</v>
      </c>
      <c r="R7" s="386">
        <v>11000</v>
      </c>
      <c r="S7" s="386" t="e">
        <f t="shared" si="6"/>
        <v>#REF!</v>
      </c>
      <c r="T7" s="386">
        <v>0.7</v>
      </c>
      <c r="U7" s="386" t="e">
        <f t="shared" si="7"/>
        <v>#REF!</v>
      </c>
      <c r="V7" s="389" t="e">
        <f t="shared" si="8"/>
        <v>#REF!</v>
      </c>
      <c r="W7" s="386">
        <v>2.5</v>
      </c>
      <c r="X7" s="391" t="e">
        <f t="shared" si="9"/>
        <v>#REF!</v>
      </c>
    </row>
    <row r="8" spans="2:38" x14ac:dyDescent="0.3">
      <c r="B8" s="385" t="s">
        <v>681</v>
      </c>
      <c r="C8" s="386">
        <v>3348</v>
      </c>
      <c r="D8" s="387" t="e">
        <f>#REF!</f>
        <v>#REF!</v>
      </c>
      <c r="E8" s="388" t="e">
        <f t="shared" si="0"/>
        <v>#REF!</v>
      </c>
      <c r="F8" s="386">
        <v>11000</v>
      </c>
      <c r="G8" s="386" t="e">
        <f t="shared" si="1"/>
        <v>#REF!</v>
      </c>
      <c r="H8" s="386">
        <v>0.7</v>
      </c>
      <c r="I8" s="386" t="e">
        <f t="shared" si="2"/>
        <v>#REF!</v>
      </c>
      <c r="J8" s="389" t="e">
        <f t="shared" si="3"/>
        <v>#REF!</v>
      </c>
      <c r="K8" s="386">
        <v>2.5</v>
      </c>
      <c r="L8" s="390" t="e">
        <f t="shared" si="4"/>
        <v>#REF!</v>
      </c>
      <c r="N8" s="385" t="str">
        <f t="shared" si="10"/>
        <v>12"</v>
      </c>
      <c r="O8" s="386">
        <f>'calc. perda energ'!L10</f>
        <v>161.49199999999999</v>
      </c>
      <c r="P8" s="387" t="e">
        <f t="shared" si="11"/>
        <v>#REF!</v>
      </c>
      <c r="Q8" s="386" t="e">
        <f t="shared" si="5"/>
        <v>#REF!</v>
      </c>
      <c r="R8" s="386">
        <v>11000</v>
      </c>
      <c r="S8" s="386" t="e">
        <f t="shared" si="6"/>
        <v>#REF!</v>
      </c>
      <c r="T8" s="386">
        <v>0.7</v>
      </c>
      <c r="U8" s="386" t="e">
        <f t="shared" si="7"/>
        <v>#REF!</v>
      </c>
      <c r="V8" s="389" t="e">
        <f t="shared" si="8"/>
        <v>#REF!</v>
      </c>
      <c r="W8" s="386">
        <v>2.5</v>
      </c>
      <c r="X8" s="391" t="e">
        <f t="shared" si="9"/>
        <v>#REF!</v>
      </c>
      <c r="AB8" s="392" t="s">
        <v>682</v>
      </c>
      <c r="AC8" s="393" t="s">
        <v>683</v>
      </c>
      <c r="AD8" s="393" t="s">
        <v>684</v>
      </c>
      <c r="AE8" s="393" t="s">
        <v>685</v>
      </c>
      <c r="AF8" s="393" t="s">
        <v>686</v>
      </c>
      <c r="AG8" s="393" t="s">
        <v>687</v>
      </c>
      <c r="AH8" s="393" t="s">
        <v>688</v>
      </c>
    </row>
    <row r="9" spans="2:38" x14ac:dyDescent="0.3">
      <c r="B9" s="385" t="s">
        <v>442</v>
      </c>
      <c r="C9" s="386">
        <v>3342</v>
      </c>
      <c r="D9" s="387" t="e">
        <f>#REF!</f>
        <v>#REF!</v>
      </c>
      <c r="E9" s="388" t="e">
        <f t="shared" si="0"/>
        <v>#REF!</v>
      </c>
      <c r="F9" s="386">
        <v>11000</v>
      </c>
      <c r="G9" s="386" t="e">
        <f t="shared" si="1"/>
        <v>#REF!</v>
      </c>
      <c r="H9" s="386">
        <v>0.7</v>
      </c>
      <c r="I9" s="386" t="e">
        <f t="shared" si="2"/>
        <v>#REF!</v>
      </c>
      <c r="J9" s="389" t="e">
        <f t="shared" si="3"/>
        <v>#REF!</v>
      </c>
      <c r="K9" s="386">
        <v>2.5</v>
      </c>
      <c r="L9" s="390" t="e">
        <f t="shared" si="4"/>
        <v>#REF!</v>
      </c>
      <c r="N9" s="385" t="str">
        <f t="shared" si="10"/>
        <v>14"</v>
      </c>
      <c r="O9" s="386">
        <f>'calc. perda energ'!O10</f>
        <v>163</v>
      </c>
      <c r="P9" s="387" t="e">
        <f t="shared" si="11"/>
        <v>#REF!</v>
      </c>
      <c r="Q9" s="386" t="e">
        <f t="shared" si="5"/>
        <v>#REF!</v>
      </c>
      <c r="R9" s="386">
        <v>11000</v>
      </c>
      <c r="S9" s="386" t="e">
        <f t="shared" si="6"/>
        <v>#REF!</v>
      </c>
      <c r="T9" s="386">
        <v>0.7</v>
      </c>
      <c r="U9" s="386" t="e">
        <f t="shared" si="7"/>
        <v>#REF!</v>
      </c>
      <c r="V9" s="389" t="e">
        <f t="shared" si="8"/>
        <v>#REF!</v>
      </c>
      <c r="W9" s="386">
        <v>2.5</v>
      </c>
      <c r="X9" s="391" t="e">
        <f t="shared" si="9"/>
        <v>#REF!</v>
      </c>
      <c r="AB9" s="392" t="s">
        <v>689</v>
      </c>
      <c r="AC9" s="386">
        <v>4</v>
      </c>
      <c r="AD9" s="386">
        <f>$AD$3</f>
        <v>6</v>
      </c>
      <c r="AE9" s="386">
        <v>8</v>
      </c>
      <c r="AF9" s="386">
        <v>8</v>
      </c>
      <c r="AG9" s="386">
        <f>$AD$3</f>
        <v>6</v>
      </c>
      <c r="AH9" s="386">
        <v>5</v>
      </c>
    </row>
    <row r="10" spans="2:38" x14ac:dyDescent="0.3">
      <c r="B10" s="385" t="s">
        <v>690</v>
      </c>
      <c r="C10" s="386">
        <f>C7</f>
        <v>3361</v>
      </c>
      <c r="D10" s="387" t="e">
        <f>#REF!</f>
        <v>#REF!</v>
      </c>
      <c r="E10" s="388" t="e">
        <f t="shared" si="0"/>
        <v>#REF!</v>
      </c>
      <c r="F10" s="386">
        <v>11000</v>
      </c>
      <c r="G10" s="386" t="e">
        <f t="shared" si="1"/>
        <v>#REF!</v>
      </c>
      <c r="H10" s="386">
        <v>0.7</v>
      </c>
      <c r="I10" s="386" t="e">
        <f t="shared" si="2"/>
        <v>#REF!</v>
      </c>
      <c r="J10" s="389" t="e">
        <f t="shared" si="3"/>
        <v>#REF!</v>
      </c>
      <c r="K10" s="386">
        <v>2.5</v>
      </c>
      <c r="L10" s="390" t="e">
        <f t="shared" si="4"/>
        <v>#REF!</v>
      </c>
      <c r="N10" s="385" t="str">
        <f t="shared" si="10"/>
        <v>16"</v>
      </c>
      <c r="O10" s="386">
        <f>O7</f>
        <v>159.774</v>
      </c>
      <c r="P10" s="387" t="e">
        <f t="shared" si="11"/>
        <v>#REF!</v>
      </c>
      <c r="Q10" s="386" t="e">
        <f t="shared" si="5"/>
        <v>#REF!</v>
      </c>
      <c r="R10" s="386">
        <v>11000</v>
      </c>
      <c r="S10" s="386" t="e">
        <f t="shared" si="6"/>
        <v>#REF!</v>
      </c>
      <c r="T10" s="386">
        <v>0.7</v>
      </c>
      <c r="U10" s="386" t="e">
        <f t="shared" si="7"/>
        <v>#REF!</v>
      </c>
      <c r="V10" s="389" t="e">
        <f t="shared" si="8"/>
        <v>#REF!</v>
      </c>
      <c r="W10" s="386">
        <v>2.5</v>
      </c>
      <c r="X10" s="391" t="e">
        <f t="shared" si="9"/>
        <v>#REF!</v>
      </c>
      <c r="AB10" s="392" t="s">
        <v>691</v>
      </c>
      <c r="AC10" s="386">
        <f t="shared" ref="AC10:AH10" si="12">AC9*$AD$1*22</f>
        <v>112.90284456000001</v>
      </c>
      <c r="AD10" s="386">
        <f t="shared" si="12"/>
        <v>169.35426683999998</v>
      </c>
      <c r="AE10" s="386">
        <f t="shared" si="12"/>
        <v>225.80568912000001</v>
      </c>
      <c r="AF10" s="386">
        <f t="shared" si="12"/>
        <v>225.80568912000001</v>
      </c>
      <c r="AG10" s="386">
        <f t="shared" si="12"/>
        <v>169.35426683999998</v>
      </c>
      <c r="AH10" s="386">
        <f t="shared" si="12"/>
        <v>141.12855569999999</v>
      </c>
      <c r="AJ10" s="394" t="s">
        <v>692</v>
      </c>
      <c r="AL10" s="394" t="s">
        <v>693</v>
      </c>
    </row>
    <row r="11" spans="2:38" x14ac:dyDescent="0.3">
      <c r="B11" s="385" t="s">
        <v>441</v>
      </c>
      <c r="C11" s="386">
        <v>3324</v>
      </c>
      <c r="D11" s="387" t="e">
        <f>#REF!</f>
        <v>#REF!</v>
      </c>
      <c r="E11" s="388" t="e">
        <f t="shared" si="0"/>
        <v>#REF!</v>
      </c>
      <c r="F11" s="386">
        <v>11000</v>
      </c>
      <c r="G11" s="386" t="e">
        <f t="shared" si="1"/>
        <v>#REF!</v>
      </c>
      <c r="H11" s="386">
        <v>0.7</v>
      </c>
      <c r="I11" s="386" t="e">
        <f t="shared" si="2"/>
        <v>#REF!</v>
      </c>
      <c r="J11" s="389" t="e">
        <f t="shared" si="3"/>
        <v>#REF!</v>
      </c>
      <c r="K11" s="386">
        <v>2.5</v>
      </c>
      <c r="L11" s="390" t="e">
        <f t="shared" si="4"/>
        <v>#REF!</v>
      </c>
      <c r="N11" s="385" t="str">
        <f t="shared" si="10"/>
        <v>18"</v>
      </c>
      <c r="O11" s="386">
        <f>'calc. perda energ'!R10</f>
        <v>168</v>
      </c>
      <c r="P11" s="387" t="e">
        <f t="shared" si="11"/>
        <v>#REF!</v>
      </c>
      <c r="Q11" s="386" t="e">
        <f t="shared" si="5"/>
        <v>#REF!</v>
      </c>
      <c r="R11" s="386">
        <v>11000</v>
      </c>
      <c r="S11" s="386" t="e">
        <f t="shared" si="6"/>
        <v>#REF!</v>
      </c>
      <c r="T11" s="386">
        <v>0.7</v>
      </c>
      <c r="U11" s="386" t="e">
        <f t="shared" si="7"/>
        <v>#REF!</v>
      </c>
      <c r="V11" s="389" t="e">
        <f t="shared" si="8"/>
        <v>#REF!</v>
      </c>
      <c r="W11" s="386">
        <v>2.5</v>
      </c>
      <c r="X11" s="391" t="e">
        <f t="shared" si="9"/>
        <v>#REF!</v>
      </c>
      <c r="AB11" s="392" t="s">
        <v>694</v>
      </c>
      <c r="AC11" s="386">
        <f>AC10</f>
        <v>112.90284456000001</v>
      </c>
      <c r="AD11" s="386">
        <f>AC11+AD10</f>
        <v>282.25711139999999</v>
      </c>
      <c r="AE11" s="386">
        <f>AD11+AE10</f>
        <v>508.06280052</v>
      </c>
      <c r="AF11" s="386">
        <f>AE11+AF10</f>
        <v>733.86848964000001</v>
      </c>
      <c r="AG11" s="386">
        <f>AF11+AG10</f>
        <v>903.22275648000004</v>
      </c>
      <c r="AH11" s="386">
        <f>AG11+AH10-13.85</f>
        <v>1030.5013121800002</v>
      </c>
      <c r="AJ11" s="395" t="e">
        <f>D13+D21</f>
        <v>#REF!</v>
      </c>
      <c r="AL11" s="395" t="e">
        <f>AH11-AJ11</f>
        <v>#REF!</v>
      </c>
    </row>
    <row r="12" spans="2:38" x14ac:dyDescent="0.3">
      <c r="B12" s="385" t="s">
        <v>695</v>
      </c>
      <c r="C12" s="386">
        <f>C9</f>
        <v>3342</v>
      </c>
      <c r="D12" s="387" t="e">
        <f>#REF!</f>
        <v>#REF!</v>
      </c>
      <c r="E12" s="388" t="e">
        <f t="shared" si="0"/>
        <v>#REF!</v>
      </c>
      <c r="F12" s="386">
        <v>11000</v>
      </c>
      <c r="G12" s="386" t="e">
        <f t="shared" si="1"/>
        <v>#REF!</v>
      </c>
      <c r="H12" s="386">
        <v>0.7</v>
      </c>
      <c r="I12" s="386" t="e">
        <f t="shared" si="2"/>
        <v>#REF!</v>
      </c>
      <c r="J12" s="389" t="e">
        <f t="shared" si="3"/>
        <v>#REF!</v>
      </c>
      <c r="K12" s="386">
        <v>2.5</v>
      </c>
      <c r="L12" s="390" t="e">
        <f t="shared" si="4"/>
        <v>#REF!</v>
      </c>
      <c r="N12" s="385" t="str">
        <f t="shared" si="10"/>
        <v>20"</v>
      </c>
      <c r="O12" s="386">
        <f>O9</f>
        <v>163</v>
      </c>
      <c r="P12" s="387" t="e">
        <f t="shared" si="11"/>
        <v>#REF!</v>
      </c>
      <c r="Q12" s="386" t="e">
        <f t="shared" si="5"/>
        <v>#REF!</v>
      </c>
      <c r="R12" s="386">
        <v>11000</v>
      </c>
      <c r="S12" s="386" t="e">
        <f t="shared" si="6"/>
        <v>#REF!</v>
      </c>
      <c r="T12" s="386">
        <v>0.7</v>
      </c>
      <c r="U12" s="386" t="e">
        <f t="shared" si="7"/>
        <v>#REF!</v>
      </c>
      <c r="V12" s="389" t="e">
        <f t="shared" si="8"/>
        <v>#REF!</v>
      </c>
      <c r="W12" s="386">
        <v>2.5</v>
      </c>
      <c r="X12" s="391" t="e">
        <f t="shared" si="9"/>
        <v>#REF!</v>
      </c>
      <c r="AB12" s="392" t="s">
        <v>696</v>
      </c>
      <c r="AC12" s="396" t="e">
        <f t="shared" ref="AC12:AH12" si="13">AC10*$AJ$14</f>
        <v>#REF!</v>
      </c>
      <c r="AD12" s="396" t="e">
        <f t="shared" si="13"/>
        <v>#REF!</v>
      </c>
      <c r="AE12" s="396" t="e">
        <f t="shared" si="13"/>
        <v>#REF!</v>
      </c>
      <c r="AF12" s="396" t="e">
        <f t="shared" si="13"/>
        <v>#REF!</v>
      </c>
      <c r="AG12" s="396" t="e">
        <f t="shared" si="13"/>
        <v>#REF!</v>
      </c>
      <c r="AH12" s="396" t="e">
        <f t="shared" si="13"/>
        <v>#REF!</v>
      </c>
    </row>
    <row r="13" spans="2:38" x14ac:dyDescent="0.3">
      <c r="B13" s="397"/>
      <c r="C13" s="398"/>
      <c r="D13" s="399" t="e">
        <f>SUM(D5:D12)</f>
        <v>#REF!</v>
      </c>
      <c r="E13" s="398"/>
      <c r="F13" s="398"/>
      <c r="G13" s="398"/>
      <c r="H13" s="398"/>
      <c r="I13" s="398"/>
      <c r="J13" s="398"/>
      <c r="K13" s="398"/>
      <c r="L13" s="400" t="e">
        <f>SUM(L5:L12)</f>
        <v>#REF!</v>
      </c>
      <c r="N13" s="397"/>
      <c r="O13" s="398"/>
      <c r="P13" s="399" t="e">
        <f>SUM(P5:P12)</f>
        <v>#REF!</v>
      </c>
      <c r="Q13" s="398"/>
      <c r="R13" s="398"/>
      <c r="S13" s="398"/>
      <c r="T13" s="398"/>
      <c r="U13" s="398"/>
      <c r="V13" s="398"/>
      <c r="W13" s="398"/>
      <c r="X13" s="400" t="e">
        <f>SUM(X5:X12)</f>
        <v>#REF!</v>
      </c>
      <c r="AB13" s="392" t="s">
        <v>697</v>
      </c>
      <c r="AC13" s="396" t="e">
        <f>AC12</f>
        <v>#REF!</v>
      </c>
      <c r="AD13" s="396" t="e">
        <f>AC13+AD12</f>
        <v>#REF!</v>
      </c>
      <c r="AE13" s="396" t="e">
        <f>AD13+AE12</f>
        <v>#REF!</v>
      </c>
      <c r="AF13" s="396" t="e">
        <f>AE13+AF12</f>
        <v>#REF!</v>
      </c>
      <c r="AG13" s="396" t="e">
        <f>AF13+AG12</f>
        <v>#REF!</v>
      </c>
      <c r="AH13" s="396" t="e">
        <f>AG13+AH12</f>
        <v>#REF!</v>
      </c>
      <c r="AJ13" s="378" t="s">
        <v>698</v>
      </c>
    </row>
    <row r="14" spans="2:38" x14ac:dyDescent="0.3">
      <c r="B14" s="1076" t="s">
        <v>699</v>
      </c>
      <c r="C14" s="1077"/>
      <c r="D14" s="1077"/>
      <c r="E14" s="1077"/>
      <c r="F14" s="1077"/>
      <c r="G14" s="1077"/>
      <c r="H14" s="1077"/>
      <c r="I14" s="1077"/>
      <c r="J14" s="1077"/>
      <c r="K14" s="1077"/>
      <c r="L14" s="1078"/>
      <c r="N14" s="1079" t="s">
        <v>699</v>
      </c>
      <c r="O14" s="1080"/>
      <c r="P14" s="1080"/>
      <c r="Q14" s="1080"/>
      <c r="R14" s="1080"/>
      <c r="S14" s="1080"/>
      <c r="T14" s="1080"/>
      <c r="U14" s="1080"/>
      <c r="V14" s="1080"/>
      <c r="W14" s="1080"/>
      <c r="X14" s="1081"/>
      <c r="AB14" s="392" t="s">
        <v>700</v>
      </c>
      <c r="AC14" s="401" t="e">
        <f t="shared" ref="AC14:AH14" si="14">$F$33+$F$41</f>
        <v>#REF!</v>
      </c>
      <c r="AD14" s="401" t="e">
        <f t="shared" si="14"/>
        <v>#REF!</v>
      </c>
      <c r="AE14" s="401" t="e">
        <f t="shared" si="14"/>
        <v>#REF!</v>
      </c>
      <c r="AF14" s="401" t="e">
        <f t="shared" si="14"/>
        <v>#REF!</v>
      </c>
      <c r="AG14" s="401" t="e">
        <f t="shared" si="14"/>
        <v>#REF!</v>
      </c>
      <c r="AH14" s="401" t="e">
        <f t="shared" si="14"/>
        <v>#REF!</v>
      </c>
      <c r="AJ14" s="402" t="e">
        <f>#REF!</f>
        <v>#REF!</v>
      </c>
    </row>
    <row r="15" spans="2:38" x14ac:dyDescent="0.3">
      <c r="B15" s="382" t="s">
        <v>668</v>
      </c>
      <c r="C15" s="383" t="s">
        <v>669</v>
      </c>
      <c r="D15" s="383" t="s">
        <v>670</v>
      </c>
      <c r="E15" s="383" t="s">
        <v>671</v>
      </c>
      <c r="F15" s="383" t="s">
        <v>672</v>
      </c>
      <c r="G15" s="383" t="s">
        <v>673</v>
      </c>
      <c r="H15" s="383" t="s">
        <v>674</v>
      </c>
      <c r="I15" s="383" t="s">
        <v>675</v>
      </c>
      <c r="J15" s="383" t="s">
        <v>676</v>
      </c>
      <c r="K15" s="383" t="s">
        <v>677</v>
      </c>
      <c r="L15" s="384" t="s">
        <v>678</v>
      </c>
      <c r="N15" s="382" t="s">
        <v>668</v>
      </c>
      <c r="O15" s="383" t="s">
        <v>669</v>
      </c>
      <c r="P15" s="383" t="s">
        <v>670</v>
      </c>
      <c r="Q15" s="383" t="s">
        <v>671</v>
      </c>
      <c r="R15" s="383" t="s">
        <v>672</v>
      </c>
      <c r="S15" s="383" t="s">
        <v>673</v>
      </c>
      <c r="T15" s="383" t="s">
        <v>674</v>
      </c>
      <c r="U15" s="383" t="s">
        <v>675</v>
      </c>
      <c r="V15" s="383" t="s">
        <v>676</v>
      </c>
      <c r="W15" s="383" t="s">
        <v>677</v>
      </c>
      <c r="X15" s="384" t="s">
        <v>678</v>
      </c>
    </row>
    <row r="16" spans="2:38" x14ac:dyDescent="0.3">
      <c r="B16" s="385" t="s">
        <v>680</v>
      </c>
      <c r="C16" s="386">
        <v>10600</v>
      </c>
      <c r="D16" s="403" t="e">
        <f>#REF!</f>
        <v>#REF!</v>
      </c>
      <c r="E16" s="388" t="e">
        <f>D16*C16</f>
        <v>#REF!</v>
      </c>
      <c r="F16" s="386">
        <v>11000</v>
      </c>
      <c r="G16" s="386" t="e">
        <f>E16/F16</f>
        <v>#REF!</v>
      </c>
      <c r="H16" s="386">
        <v>0.7</v>
      </c>
      <c r="I16" s="386" t="e">
        <f>G16/H16</f>
        <v>#REF!</v>
      </c>
      <c r="J16" s="389" t="e">
        <f>I16*24*365</f>
        <v>#REF!</v>
      </c>
      <c r="K16" s="386">
        <v>2.5</v>
      </c>
      <c r="L16" s="390" t="e">
        <f>J16*K16*$AA$1</f>
        <v>#REF!</v>
      </c>
      <c r="N16" s="385" t="str">
        <f>B16</f>
        <v>6"</v>
      </c>
      <c r="O16" s="386">
        <v>200</v>
      </c>
      <c r="P16" s="403" t="e">
        <f>D16</f>
        <v>#REF!</v>
      </c>
      <c r="Q16" s="386" t="e">
        <f>P16*O16</f>
        <v>#REF!</v>
      </c>
      <c r="R16" s="386">
        <v>11000</v>
      </c>
      <c r="S16" s="386" t="e">
        <f>Q16/R16</f>
        <v>#REF!</v>
      </c>
      <c r="T16" s="386">
        <v>0.7</v>
      </c>
      <c r="U16" s="386" t="e">
        <f>S16/T16</f>
        <v>#REF!</v>
      </c>
      <c r="V16" s="389" t="e">
        <f>U16*24*365</f>
        <v>#REF!</v>
      </c>
      <c r="W16" s="386">
        <v>2.5</v>
      </c>
      <c r="X16" s="391" t="e">
        <f>V16*W16*$AA$1</f>
        <v>#REF!</v>
      </c>
    </row>
    <row r="17" spans="1:36" x14ac:dyDescent="0.3">
      <c r="B17" s="385" t="s">
        <v>701</v>
      </c>
      <c r="C17" s="386">
        <v>10659</v>
      </c>
      <c r="D17" s="403" t="e">
        <f>#REF!</f>
        <v>#REF!</v>
      </c>
      <c r="E17" s="388" t="e">
        <f>D17*C17</f>
        <v>#REF!</v>
      </c>
      <c r="F17" s="386">
        <v>11000</v>
      </c>
      <c r="G17" s="386" t="e">
        <f>E17/F17</f>
        <v>#REF!</v>
      </c>
      <c r="H17" s="386">
        <v>0.7</v>
      </c>
      <c r="I17" s="386" t="e">
        <f>G17/H17</f>
        <v>#REF!</v>
      </c>
      <c r="J17" s="389" t="e">
        <f>I17*24*365</f>
        <v>#REF!</v>
      </c>
      <c r="K17" s="386">
        <v>2.5</v>
      </c>
      <c r="L17" s="390" t="e">
        <f>J17*K17*$AA$1</f>
        <v>#REF!</v>
      </c>
      <c r="N17" s="385" t="str">
        <f>B17</f>
        <v>8"</v>
      </c>
      <c r="O17" s="386">
        <f>'calc. perda energ'!C24</f>
        <v>220.76300000000001</v>
      </c>
      <c r="P17" s="403" t="e">
        <f>D17</f>
        <v>#REF!</v>
      </c>
      <c r="Q17" s="386" t="e">
        <f>P17*O17</f>
        <v>#REF!</v>
      </c>
      <c r="R17" s="386">
        <v>11000</v>
      </c>
      <c r="S17" s="386" t="e">
        <f>Q17/R17</f>
        <v>#REF!</v>
      </c>
      <c r="T17" s="386">
        <v>0.7</v>
      </c>
      <c r="U17" s="386" t="e">
        <f>S17/T17</f>
        <v>#REF!</v>
      </c>
      <c r="V17" s="389" t="e">
        <f>U17*24*365</f>
        <v>#REF!</v>
      </c>
      <c r="W17" s="386">
        <v>2.5</v>
      </c>
      <c r="X17" s="391" t="e">
        <f>V17*W17*$AA$1</f>
        <v>#REF!</v>
      </c>
    </row>
    <row r="18" spans="1:36" x14ac:dyDescent="0.3">
      <c r="B18" s="385" t="s">
        <v>443</v>
      </c>
      <c r="C18" s="386">
        <v>10882</v>
      </c>
      <c r="D18" s="403" t="e">
        <f>#REF!</f>
        <v>#REF!</v>
      </c>
      <c r="E18" s="388" t="e">
        <f>D18*C18</f>
        <v>#REF!</v>
      </c>
      <c r="F18" s="386">
        <v>11000</v>
      </c>
      <c r="G18" s="386" t="e">
        <f>E18/F18</f>
        <v>#REF!</v>
      </c>
      <c r="H18" s="386">
        <v>0.7</v>
      </c>
      <c r="I18" s="386" t="e">
        <f>G18/H18</f>
        <v>#REF!</v>
      </c>
      <c r="J18" s="389" t="e">
        <f>I18*24*365</f>
        <v>#REF!</v>
      </c>
      <c r="K18" s="386">
        <v>2.5</v>
      </c>
      <c r="L18" s="390" t="e">
        <f>J18*K18*$AA$1</f>
        <v>#REF!</v>
      </c>
      <c r="N18" s="385" t="str">
        <f>B18</f>
        <v>10"</v>
      </c>
      <c r="O18" s="386">
        <f>'calc. perda energ'!F24</f>
        <v>230.21199999999999</v>
      </c>
      <c r="P18" s="403" t="e">
        <f>D18</f>
        <v>#REF!</v>
      </c>
      <c r="Q18" s="386" t="e">
        <f>P18*O18</f>
        <v>#REF!</v>
      </c>
      <c r="R18" s="386">
        <v>11000</v>
      </c>
      <c r="S18" s="386" t="e">
        <f>Q18/R18</f>
        <v>#REF!</v>
      </c>
      <c r="T18" s="386">
        <v>0.7</v>
      </c>
      <c r="U18" s="386" t="e">
        <f>S18/T18</f>
        <v>#REF!</v>
      </c>
      <c r="V18" s="389" t="e">
        <f>U18*24*365</f>
        <v>#REF!</v>
      </c>
      <c r="W18" s="386">
        <v>2.5</v>
      </c>
      <c r="X18" s="391" t="e">
        <f>V18*W18*$AA$1</f>
        <v>#REF!</v>
      </c>
      <c r="AJ18" s="402">
        <v>997122.05064000003</v>
      </c>
    </row>
    <row r="19" spans="1:36" x14ac:dyDescent="0.3">
      <c r="B19" s="385" t="s">
        <v>681</v>
      </c>
      <c r="C19" s="386">
        <v>10854</v>
      </c>
      <c r="D19" s="403" t="e">
        <f>#REF!</f>
        <v>#REF!</v>
      </c>
      <c r="E19" s="388" t="e">
        <f>D19*C19</f>
        <v>#REF!</v>
      </c>
      <c r="F19" s="386">
        <v>11000</v>
      </c>
      <c r="G19" s="386" t="e">
        <f>E19/F19</f>
        <v>#REF!</v>
      </c>
      <c r="H19" s="386">
        <v>0.7</v>
      </c>
      <c r="I19" s="386" t="e">
        <f>G19/H19</f>
        <v>#REF!</v>
      </c>
      <c r="J19" s="389" t="e">
        <f>I19*24*365</f>
        <v>#REF!</v>
      </c>
      <c r="K19" s="386">
        <v>2.5</v>
      </c>
      <c r="L19" s="390" t="e">
        <f>J19*K19*$AA$1</f>
        <v>#REF!</v>
      </c>
      <c r="N19" s="385" t="str">
        <f>B19</f>
        <v>12"</v>
      </c>
      <c r="O19" s="386">
        <f>'calc. perda energ'!I24</f>
        <v>237.084</v>
      </c>
      <c r="P19" s="403" t="e">
        <f>D19</f>
        <v>#REF!</v>
      </c>
      <c r="Q19" s="386" t="e">
        <f>P19*O19</f>
        <v>#REF!</v>
      </c>
      <c r="R19" s="386">
        <v>11000</v>
      </c>
      <c r="S19" s="386" t="e">
        <f>Q19/R19</f>
        <v>#REF!</v>
      </c>
      <c r="T19" s="386">
        <v>0.7</v>
      </c>
      <c r="U19" s="386" t="e">
        <f>S19/T19</f>
        <v>#REF!</v>
      </c>
      <c r="V19" s="389" t="e">
        <f>U19*24*365</f>
        <v>#REF!</v>
      </c>
      <c r="W19" s="386">
        <v>2.5</v>
      </c>
      <c r="X19" s="391" t="e">
        <f>V19*W19*$AA$1</f>
        <v>#REF!</v>
      </c>
    </row>
    <row r="20" spans="1:36" x14ac:dyDescent="0.3">
      <c r="B20" s="404" t="s">
        <v>441</v>
      </c>
      <c r="C20" s="405">
        <v>10805</v>
      </c>
      <c r="D20" s="406" t="e">
        <f>#REF!</f>
        <v>#REF!</v>
      </c>
      <c r="E20" s="407" t="e">
        <f>D20*C20</f>
        <v>#REF!</v>
      </c>
      <c r="F20" s="405">
        <v>11000</v>
      </c>
      <c r="G20" s="405" t="e">
        <f>E20/F20</f>
        <v>#REF!</v>
      </c>
      <c r="H20" s="405">
        <v>0.7</v>
      </c>
      <c r="I20" s="405" t="e">
        <f>G20/H20</f>
        <v>#REF!</v>
      </c>
      <c r="J20" s="408" t="e">
        <f>I20*24*365</f>
        <v>#REF!</v>
      </c>
      <c r="K20" s="405">
        <v>2.5</v>
      </c>
      <c r="L20" s="390" t="e">
        <f>J20*K20*$AA$1</f>
        <v>#REF!</v>
      </c>
      <c r="N20" s="404" t="str">
        <f>B20</f>
        <v>18"</v>
      </c>
      <c r="O20" s="405">
        <f>'calc. perda energ'!O24</f>
        <v>249</v>
      </c>
      <c r="P20" s="406" t="e">
        <f>D20</f>
        <v>#REF!</v>
      </c>
      <c r="Q20" s="405" t="e">
        <f>P20*O20</f>
        <v>#REF!</v>
      </c>
      <c r="R20" s="405">
        <v>11000</v>
      </c>
      <c r="S20" s="405" t="e">
        <f>Q20/R20</f>
        <v>#REF!</v>
      </c>
      <c r="T20" s="405">
        <v>0.7</v>
      </c>
      <c r="U20" s="405" t="e">
        <f>S20/T20</f>
        <v>#REF!</v>
      </c>
      <c r="V20" s="408" t="e">
        <f>U20*24*365</f>
        <v>#REF!</v>
      </c>
      <c r="W20" s="405">
        <v>2.5</v>
      </c>
      <c r="X20" s="391" t="e">
        <f>V20*W20*$AA$1</f>
        <v>#REF!</v>
      </c>
    </row>
    <row r="21" spans="1:36" x14ac:dyDescent="0.3">
      <c r="B21" s="397"/>
      <c r="C21" s="398"/>
      <c r="D21" s="409" t="e">
        <f>SUM(D16:D20)</f>
        <v>#REF!</v>
      </c>
      <c r="E21" s="398"/>
      <c r="F21" s="398"/>
      <c r="G21" s="398"/>
      <c r="H21" s="398"/>
      <c r="I21" s="398"/>
      <c r="J21" s="398"/>
      <c r="K21" s="398"/>
      <c r="L21" s="400" t="e">
        <f>SUM(L16:L20)</f>
        <v>#REF!</v>
      </c>
      <c r="N21" s="397"/>
      <c r="O21" s="398"/>
      <c r="P21" s="409" t="e">
        <f>SUM(P16:P20)</f>
        <v>#REF!</v>
      </c>
      <c r="Q21" s="398"/>
      <c r="R21" s="398"/>
      <c r="S21" s="398"/>
      <c r="T21" s="398"/>
      <c r="U21" s="398"/>
      <c r="V21" s="398"/>
      <c r="W21" s="398"/>
      <c r="X21" s="400" t="e">
        <f>SUM(X16:X20)</f>
        <v>#REF!</v>
      </c>
    </row>
    <row r="23" spans="1:36" x14ac:dyDescent="0.3">
      <c r="B23" s="1069" t="s">
        <v>702</v>
      </c>
      <c r="C23" s="1069"/>
      <c r="D23" s="1069"/>
      <c r="E23" s="1069"/>
      <c r="F23" s="1069"/>
      <c r="N23" s="1069" t="s">
        <v>702</v>
      </c>
      <c r="O23" s="1069"/>
      <c r="P23" s="1069"/>
      <c r="Q23" s="1069"/>
      <c r="R23" s="1069"/>
    </row>
    <row r="24" spans="1:36" ht="27.6" x14ac:dyDescent="0.3">
      <c r="B24" s="410" t="s">
        <v>703</v>
      </c>
      <c r="C24" s="411" t="s">
        <v>47</v>
      </c>
      <c r="D24" s="410" t="s">
        <v>704</v>
      </c>
      <c r="E24" s="410" t="s">
        <v>705</v>
      </c>
      <c r="F24" s="410" t="s">
        <v>706</v>
      </c>
      <c r="H24" s="412"/>
      <c r="N24" s="410" t="s">
        <v>703</v>
      </c>
      <c r="O24" s="411" t="s">
        <v>47</v>
      </c>
      <c r="P24" s="410" t="s">
        <v>707</v>
      </c>
      <c r="Q24" s="410" t="s">
        <v>705</v>
      </c>
      <c r="R24" s="410" t="s">
        <v>706</v>
      </c>
      <c r="T24" s="413" t="s">
        <v>708</v>
      </c>
      <c r="U24" s="413" t="s">
        <v>709</v>
      </c>
      <c r="W24" s="414" t="str">
        <f>T24</f>
        <v>ECONOMIA ENERGIA (ano)</v>
      </c>
      <c r="X24" s="414" t="str">
        <f>W24</f>
        <v>ECONOMIA ENERGIA (ano)</v>
      </c>
    </row>
    <row r="25" spans="1:36" x14ac:dyDescent="0.3">
      <c r="A25" s="386" t="s">
        <v>333</v>
      </c>
      <c r="B25" s="415" t="str">
        <f t="shared" ref="B25:B32" si="15">B5</f>
        <v>3"</v>
      </c>
      <c r="C25" s="416" t="e">
        <f>D5</f>
        <v>#REF!</v>
      </c>
      <c r="D25" s="417" t="e">
        <f>E5</f>
        <v>#REF!</v>
      </c>
      <c r="E25" s="418" t="e">
        <f t="shared" ref="E25:E32" si="16">L5</f>
        <v>#REF!</v>
      </c>
      <c r="F25" s="418" t="e">
        <f>E25/12</f>
        <v>#REF!</v>
      </c>
      <c r="G25" s="394"/>
      <c r="H25" s="419"/>
      <c r="M25" s="386" t="s">
        <v>333</v>
      </c>
      <c r="N25" s="415" t="str">
        <f t="shared" ref="N25:N32" si="17">N5</f>
        <v>3"</v>
      </c>
      <c r="O25" s="416" t="e">
        <f>P5</f>
        <v>#REF!</v>
      </c>
      <c r="P25" s="417" t="e">
        <f>Q5</f>
        <v>#REF!</v>
      </c>
      <c r="Q25" s="418" t="e">
        <f t="shared" ref="Q25:Q32" si="18">X5</f>
        <v>#REF!</v>
      </c>
      <c r="R25" s="418" t="e">
        <f>Q25/12</f>
        <v>#REF!</v>
      </c>
      <c r="T25" s="420" t="e">
        <f>E25-Q25</f>
        <v>#REF!</v>
      </c>
      <c r="U25" s="420" t="e">
        <f>T25/12</f>
        <v>#REF!</v>
      </c>
      <c r="W25" s="421" t="e">
        <f>T34</f>
        <v>#REF!</v>
      </c>
      <c r="X25" s="421" t="e">
        <f>T41</f>
        <v>#REF!</v>
      </c>
    </row>
    <row r="26" spans="1:36" x14ac:dyDescent="0.3">
      <c r="A26" s="386" t="s">
        <v>333</v>
      </c>
      <c r="B26" s="415" t="str">
        <f t="shared" si="15"/>
        <v>6"</v>
      </c>
      <c r="C26" s="416" t="e">
        <f t="shared" ref="C26:D32" si="19">D6</f>
        <v>#REF!</v>
      </c>
      <c r="D26" s="417" t="e">
        <f t="shared" si="19"/>
        <v>#REF!</v>
      </c>
      <c r="E26" s="418" t="e">
        <f t="shared" si="16"/>
        <v>#REF!</v>
      </c>
      <c r="F26" s="418" t="e">
        <f t="shared" ref="F26:F32" si="20">E26/12</f>
        <v>#REF!</v>
      </c>
      <c r="M26" s="386" t="s">
        <v>333</v>
      </c>
      <c r="N26" s="415" t="str">
        <f t="shared" si="17"/>
        <v>6"</v>
      </c>
      <c r="O26" s="416" t="e">
        <f t="shared" ref="O26:P32" si="21">P6</f>
        <v>#REF!</v>
      </c>
      <c r="P26" s="417" t="e">
        <f t="shared" si="21"/>
        <v>#REF!</v>
      </c>
      <c r="Q26" s="418" t="e">
        <f t="shared" si="18"/>
        <v>#REF!</v>
      </c>
      <c r="R26" s="418" t="e">
        <f t="shared" ref="R26:R32" si="22">Q26/12</f>
        <v>#REF!</v>
      </c>
      <c r="T26" s="420" t="e">
        <f t="shared" ref="T26:T40" si="23">E26-Q26</f>
        <v>#REF!</v>
      </c>
      <c r="U26" s="420" t="e">
        <f t="shared" ref="U26:U40" si="24">T26/12</f>
        <v>#REF!</v>
      </c>
      <c r="W26" s="419" t="e">
        <f>W25/12</f>
        <v>#REF!</v>
      </c>
      <c r="X26" s="419" t="e">
        <f>X25/12</f>
        <v>#REF!</v>
      </c>
    </row>
    <row r="27" spans="1:36" x14ac:dyDescent="0.3">
      <c r="A27" s="386" t="s">
        <v>333</v>
      </c>
      <c r="B27" s="415" t="str">
        <f t="shared" si="15"/>
        <v>10"</v>
      </c>
      <c r="C27" s="416" t="e">
        <f t="shared" si="19"/>
        <v>#REF!</v>
      </c>
      <c r="D27" s="417" t="e">
        <f t="shared" si="19"/>
        <v>#REF!</v>
      </c>
      <c r="E27" s="418" t="e">
        <f t="shared" si="16"/>
        <v>#REF!</v>
      </c>
      <c r="F27" s="418" t="e">
        <f t="shared" si="20"/>
        <v>#REF!</v>
      </c>
      <c r="M27" s="386" t="s">
        <v>333</v>
      </c>
      <c r="N27" s="415" t="str">
        <f t="shared" si="17"/>
        <v>10"</v>
      </c>
      <c r="O27" s="416" t="e">
        <f t="shared" si="21"/>
        <v>#REF!</v>
      </c>
      <c r="P27" s="417" t="e">
        <f t="shared" si="21"/>
        <v>#REF!</v>
      </c>
      <c r="Q27" s="418" t="e">
        <f t="shared" si="18"/>
        <v>#REF!</v>
      </c>
      <c r="R27" s="418" t="e">
        <f t="shared" si="22"/>
        <v>#REF!</v>
      </c>
      <c r="T27" s="420" t="e">
        <f t="shared" si="23"/>
        <v>#REF!</v>
      </c>
      <c r="U27" s="420" t="e">
        <f t="shared" si="24"/>
        <v>#REF!</v>
      </c>
    </row>
    <row r="28" spans="1:36" x14ac:dyDescent="0.3">
      <c r="A28" s="386" t="s">
        <v>333</v>
      </c>
      <c r="B28" s="415" t="str">
        <f t="shared" si="15"/>
        <v>12"</v>
      </c>
      <c r="C28" s="416" t="e">
        <f t="shared" si="19"/>
        <v>#REF!</v>
      </c>
      <c r="D28" s="417" t="e">
        <f t="shared" si="19"/>
        <v>#REF!</v>
      </c>
      <c r="E28" s="418" t="e">
        <f t="shared" si="16"/>
        <v>#REF!</v>
      </c>
      <c r="F28" s="418" t="e">
        <f t="shared" si="20"/>
        <v>#REF!</v>
      </c>
      <c r="M28" s="386" t="s">
        <v>333</v>
      </c>
      <c r="N28" s="415" t="str">
        <f t="shared" si="17"/>
        <v>12"</v>
      </c>
      <c r="O28" s="416" t="e">
        <f t="shared" si="21"/>
        <v>#REF!</v>
      </c>
      <c r="P28" s="417" t="e">
        <f t="shared" si="21"/>
        <v>#REF!</v>
      </c>
      <c r="Q28" s="418" t="e">
        <f t="shared" si="18"/>
        <v>#REF!</v>
      </c>
      <c r="R28" s="418" t="e">
        <f t="shared" si="22"/>
        <v>#REF!</v>
      </c>
      <c r="T28" s="420" t="e">
        <f t="shared" si="23"/>
        <v>#REF!</v>
      </c>
      <c r="U28" s="420" t="e">
        <f t="shared" si="24"/>
        <v>#REF!</v>
      </c>
    </row>
    <row r="29" spans="1:36" x14ac:dyDescent="0.3">
      <c r="A29" s="386" t="s">
        <v>333</v>
      </c>
      <c r="B29" s="415" t="str">
        <f t="shared" si="15"/>
        <v>14"</v>
      </c>
      <c r="C29" s="416" t="e">
        <f t="shared" si="19"/>
        <v>#REF!</v>
      </c>
      <c r="D29" s="417" t="e">
        <f t="shared" si="19"/>
        <v>#REF!</v>
      </c>
      <c r="E29" s="418" t="e">
        <f t="shared" si="16"/>
        <v>#REF!</v>
      </c>
      <c r="F29" s="418" t="e">
        <f t="shared" si="20"/>
        <v>#REF!</v>
      </c>
      <c r="M29" s="386" t="s">
        <v>333</v>
      </c>
      <c r="N29" s="415" t="str">
        <f t="shared" si="17"/>
        <v>14"</v>
      </c>
      <c r="O29" s="416" t="e">
        <f t="shared" si="21"/>
        <v>#REF!</v>
      </c>
      <c r="P29" s="417" t="e">
        <f t="shared" si="21"/>
        <v>#REF!</v>
      </c>
      <c r="Q29" s="418" t="e">
        <f t="shared" si="18"/>
        <v>#REF!</v>
      </c>
      <c r="R29" s="418" t="e">
        <f t="shared" si="22"/>
        <v>#REF!</v>
      </c>
      <c r="T29" s="420" t="e">
        <f t="shared" si="23"/>
        <v>#REF!</v>
      </c>
      <c r="U29" s="420" t="e">
        <f t="shared" si="24"/>
        <v>#REF!</v>
      </c>
    </row>
    <row r="30" spans="1:36" x14ac:dyDescent="0.3">
      <c r="A30" s="386" t="s">
        <v>333</v>
      </c>
      <c r="B30" s="415" t="str">
        <f t="shared" si="15"/>
        <v>16"</v>
      </c>
      <c r="C30" s="416" t="e">
        <f t="shared" si="19"/>
        <v>#REF!</v>
      </c>
      <c r="D30" s="417" t="e">
        <f t="shared" si="19"/>
        <v>#REF!</v>
      </c>
      <c r="E30" s="418" t="e">
        <f t="shared" si="16"/>
        <v>#REF!</v>
      </c>
      <c r="F30" s="418" t="e">
        <f t="shared" si="20"/>
        <v>#REF!</v>
      </c>
      <c r="M30" s="386" t="s">
        <v>333</v>
      </c>
      <c r="N30" s="415" t="str">
        <f t="shared" si="17"/>
        <v>16"</v>
      </c>
      <c r="O30" s="416" t="e">
        <f t="shared" si="21"/>
        <v>#REF!</v>
      </c>
      <c r="P30" s="417" t="e">
        <f t="shared" si="21"/>
        <v>#REF!</v>
      </c>
      <c r="Q30" s="418" t="e">
        <f t="shared" si="18"/>
        <v>#REF!</v>
      </c>
      <c r="R30" s="418" t="e">
        <f t="shared" si="22"/>
        <v>#REF!</v>
      </c>
      <c r="T30" s="420" t="e">
        <f t="shared" si="23"/>
        <v>#REF!</v>
      </c>
      <c r="U30" s="420" t="e">
        <f t="shared" si="24"/>
        <v>#REF!</v>
      </c>
    </row>
    <row r="31" spans="1:36" x14ac:dyDescent="0.3">
      <c r="A31" s="386" t="s">
        <v>333</v>
      </c>
      <c r="B31" s="415" t="str">
        <f t="shared" si="15"/>
        <v>18"</v>
      </c>
      <c r="C31" s="416" t="e">
        <f t="shared" si="19"/>
        <v>#REF!</v>
      </c>
      <c r="D31" s="417" t="e">
        <f t="shared" si="19"/>
        <v>#REF!</v>
      </c>
      <c r="E31" s="418" t="e">
        <f t="shared" si="16"/>
        <v>#REF!</v>
      </c>
      <c r="F31" s="418" t="e">
        <f t="shared" si="20"/>
        <v>#REF!</v>
      </c>
      <c r="M31" s="386" t="s">
        <v>333</v>
      </c>
      <c r="N31" s="415" t="str">
        <f t="shared" si="17"/>
        <v>18"</v>
      </c>
      <c r="O31" s="416" t="e">
        <f t="shared" si="21"/>
        <v>#REF!</v>
      </c>
      <c r="P31" s="417" t="e">
        <f t="shared" si="21"/>
        <v>#REF!</v>
      </c>
      <c r="Q31" s="418" t="e">
        <f t="shared" si="18"/>
        <v>#REF!</v>
      </c>
      <c r="R31" s="418" t="e">
        <f t="shared" si="22"/>
        <v>#REF!</v>
      </c>
      <c r="T31" s="420" t="e">
        <f t="shared" si="23"/>
        <v>#REF!</v>
      </c>
      <c r="U31" s="420" t="e">
        <f t="shared" si="24"/>
        <v>#REF!</v>
      </c>
    </row>
    <row r="32" spans="1:36" x14ac:dyDescent="0.3">
      <c r="A32" s="386" t="s">
        <v>333</v>
      </c>
      <c r="B32" s="415" t="str">
        <f t="shared" si="15"/>
        <v>20"</v>
      </c>
      <c r="C32" s="416" t="e">
        <f t="shared" si="19"/>
        <v>#REF!</v>
      </c>
      <c r="D32" s="417" t="e">
        <f t="shared" si="19"/>
        <v>#REF!</v>
      </c>
      <c r="E32" s="418" t="e">
        <f t="shared" si="16"/>
        <v>#REF!</v>
      </c>
      <c r="F32" s="418" t="e">
        <f t="shared" si="20"/>
        <v>#REF!</v>
      </c>
      <c r="M32" s="386" t="s">
        <v>333</v>
      </c>
      <c r="N32" s="415" t="str">
        <f t="shared" si="17"/>
        <v>20"</v>
      </c>
      <c r="O32" s="416" t="e">
        <f t="shared" si="21"/>
        <v>#REF!</v>
      </c>
      <c r="P32" s="417" t="e">
        <f t="shared" si="21"/>
        <v>#REF!</v>
      </c>
      <c r="Q32" s="418" t="e">
        <f t="shared" si="18"/>
        <v>#REF!</v>
      </c>
      <c r="R32" s="418" t="e">
        <f t="shared" si="22"/>
        <v>#REF!</v>
      </c>
      <c r="T32" s="420" t="e">
        <f t="shared" si="23"/>
        <v>#REF!</v>
      </c>
      <c r="U32" s="420" t="e">
        <f t="shared" si="24"/>
        <v>#REF!</v>
      </c>
    </row>
    <row r="33" spans="1:21" x14ac:dyDescent="0.3">
      <c r="A33" s="386"/>
      <c r="B33" s="422" t="s">
        <v>710</v>
      </c>
      <c r="C33" s="423" t="e">
        <f>SUM(C25:C32)</f>
        <v>#REF!</v>
      </c>
      <c r="D33" s="424"/>
      <c r="E33" s="425" t="e">
        <f>SUM(E25:E32)</f>
        <v>#REF!</v>
      </c>
      <c r="F33" s="425" t="e">
        <f>SUM(F25:F32)</f>
        <v>#REF!</v>
      </c>
      <c r="H33" s="419"/>
      <c r="M33" s="386"/>
      <c r="N33" s="422"/>
      <c r="O33" s="423"/>
      <c r="P33" s="424"/>
      <c r="Q33" s="425" t="e">
        <f>SUM(Q25:Q32)</f>
        <v>#REF!</v>
      </c>
      <c r="R33" s="425" t="e">
        <f>SUM(R25:R32)</f>
        <v>#REF!</v>
      </c>
      <c r="T33" s="420"/>
      <c r="U33" s="420"/>
    </row>
    <row r="34" spans="1:21" x14ac:dyDescent="0.3">
      <c r="A34" s="386"/>
      <c r="B34" s="1069" t="s">
        <v>711</v>
      </c>
      <c r="C34" s="1069"/>
      <c r="D34" s="1069"/>
      <c r="E34" s="1069"/>
      <c r="F34" s="1069"/>
      <c r="H34" s="419"/>
      <c r="M34" s="386"/>
      <c r="N34" s="1069" t="s">
        <v>711</v>
      </c>
      <c r="O34" s="1069"/>
      <c r="P34" s="1069"/>
      <c r="Q34" s="1069"/>
      <c r="R34" s="1069"/>
      <c r="T34" s="426" t="e">
        <f>SUM(T25:T32)</f>
        <v>#REF!</v>
      </c>
      <c r="U34" s="420"/>
    </row>
    <row r="35" spans="1:21" x14ac:dyDescent="0.3">
      <c r="B35" s="410" t="s">
        <v>703</v>
      </c>
      <c r="C35" s="410" t="s">
        <v>47</v>
      </c>
      <c r="D35" s="410" t="s">
        <v>704</v>
      </c>
      <c r="E35" s="410" t="s">
        <v>705</v>
      </c>
      <c r="F35" s="410" t="s">
        <v>706</v>
      </c>
      <c r="N35" s="410" t="s">
        <v>703</v>
      </c>
      <c r="O35" s="410" t="s">
        <v>47</v>
      </c>
      <c r="P35" s="410" t="s">
        <v>707</v>
      </c>
      <c r="Q35" s="410" t="s">
        <v>705</v>
      </c>
      <c r="R35" s="410" t="s">
        <v>706</v>
      </c>
      <c r="T35" s="420"/>
      <c r="U35" s="420"/>
    </row>
    <row r="36" spans="1:21" x14ac:dyDescent="0.3">
      <c r="A36" s="386" t="s">
        <v>334</v>
      </c>
      <c r="B36" s="415" t="str">
        <f>B16</f>
        <v>6"</v>
      </c>
      <c r="C36" s="427" t="e">
        <f>D16</f>
        <v>#REF!</v>
      </c>
      <c r="D36" s="417" t="e">
        <f>E16</f>
        <v>#REF!</v>
      </c>
      <c r="E36" s="418" t="e">
        <f>L16</f>
        <v>#REF!</v>
      </c>
      <c r="F36" s="418" t="e">
        <f>E36/12</f>
        <v>#REF!</v>
      </c>
      <c r="M36" s="386" t="s">
        <v>334</v>
      </c>
      <c r="N36" s="415" t="str">
        <f>N16</f>
        <v>6"</v>
      </c>
      <c r="O36" s="427" t="e">
        <f>P16</f>
        <v>#REF!</v>
      </c>
      <c r="P36" s="417" t="e">
        <f>Q16</f>
        <v>#REF!</v>
      </c>
      <c r="Q36" s="418" t="e">
        <f>X16</f>
        <v>#REF!</v>
      </c>
      <c r="R36" s="418" t="e">
        <f>Q36/12</f>
        <v>#REF!</v>
      </c>
      <c r="T36" s="420" t="e">
        <f t="shared" si="23"/>
        <v>#REF!</v>
      </c>
      <c r="U36" s="420" t="e">
        <f t="shared" si="24"/>
        <v>#REF!</v>
      </c>
    </row>
    <row r="37" spans="1:21" x14ac:dyDescent="0.3">
      <c r="A37" s="386" t="s">
        <v>334</v>
      </c>
      <c r="B37" s="427" t="str">
        <f>B17</f>
        <v>8"</v>
      </c>
      <c r="C37" s="427" t="e">
        <f t="shared" ref="C37:D40" si="25">D17</f>
        <v>#REF!</v>
      </c>
      <c r="D37" s="417" t="e">
        <f t="shared" si="25"/>
        <v>#REF!</v>
      </c>
      <c r="E37" s="418" t="e">
        <f>L17</f>
        <v>#REF!</v>
      </c>
      <c r="F37" s="418" t="e">
        <f>E37/12</f>
        <v>#REF!</v>
      </c>
      <c r="M37" s="386" t="s">
        <v>334</v>
      </c>
      <c r="N37" s="427" t="str">
        <f>N17</f>
        <v>8"</v>
      </c>
      <c r="O37" s="427" t="e">
        <f t="shared" ref="O37:P40" si="26">P17</f>
        <v>#REF!</v>
      </c>
      <c r="P37" s="417" t="e">
        <f t="shared" si="26"/>
        <v>#REF!</v>
      </c>
      <c r="Q37" s="418" t="e">
        <f>X17</f>
        <v>#REF!</v>
      </c>
      <c r="R37" s="418" t="e">
        <f>Q37/12</f>
        <v>#REF!</v>
      </c>
      <c r="T37" s="420" t="e">
        <f t="shared" si="23"/>
        <v>#REF!</v>
      </c>
      <c r="U37" s="420" t="e">
        <f t="shared" si="24"/>
        <v>#REF!</v>
      </c>
    </row>
    <row r="38" spans="1:21" x14ac:dyDescent="0.3">
      <c r="A38" s="386" t="s">
        <v>334</v>
      </c>
      <c r="B38" s="427" t="str">
        <f>B18</f>
        <v>10"</v>
      </c>
      <c r="C38" s="427" t="e">
        <f t="shared" si="25"/>
        <v>#REF!</v>
      </c>
      <c r="D38" s="417" t="e">
        <f t="shared" si="25"/>
        <v>#REF!</v>
      </c>
      <c r="E38" s="418" t="e">
        <f>L18</f>
        <v>#REF!</v>
      </c>
      <c r="F38" s="418" t="e">
        <f>E38/12</f>
        <v>#REF!</v>
      </c>
      <c r="M38" s="386" t="s">
        <v>334</v>
      </c>
      <c r="N38" s="427" t="str">
        <f>N18</f>
        <v>10"</v>
      </c>
      <c r="O38" s="427" t="e">
        <f t="shared" si="26"/>
        <v>#REF!</v>
      </c>
      <c r="P38" s="417" t="e">
        <f t="shared" si="26"/>
        <v>#REF!</v>
      </c>
      <c r="Q38" s="418" t="e">
        <f>X18</f>
        <v>#REF!</v>
      </c>
      <c r="R38" s="418" t="e">
        <f>Q38/12</f>
        <v>#REF!</v>
      </c>
      <c r="T38" s="420" t="e">
        <f t="shared" si="23"/>
        <v>#REF!</v>
      </c>
      <c r="U38" s="420" t="e">
        <f t="shared" si="24"/>
        <v>#REF!</v>
      </c>
    </row>
    <row r="39" spans="1:21" x14ac:dyDescent="0.3">
      <c r="A39" s="386" t="s">
        <v>334</v>
      </c>
      <c r="B39" s="427" t="str">
        <f>B19</f>
        <v>12"</v>
      </c>
      <c r="C39" s="427" t="e">
        <f t="shared" si="25"/>
        <v>#REF!</v>
      </c>
      <c r="D39" s="417" t="e">
        <f t="shared" si="25"/>
        <v>#REF!</v>
      </c>
      <c r="E39" s="418" t="e">
        <f>L19</f>
        <v>#REF!</v>
      </c>
      <c r="F39" s="418" t="e">
        <f>E39/12</f>
        <v>#REF!</v>
      </c>
      <c r="M39" s="386" t="s">
        <v>334</v>
      </c>
      <c r="N39" s="427" t="str">
        <f>N19</f>
        <v>12"</v>
      </c>
      <c r="O39" s="427" t="e">
        <f t="shared" si="26"/>
        <v>#REF!</v>
      </c>
      <c r="P39" s="417" t="e">
        <f t="shared" si="26"/>
        <v>#REF!</v>
      </c>
      <c r="Q39" s="418" t="e">
        <f>X19</f>
        <v>#REF!</v>
      </c>
      <c r="R39" s="418" t="e">
        <f>Q39/12</f>
        <v>#REF!</v>
      </c>
      <c r="T39" s="420" t="e">
        <f t="shared" si="23"/>
        <v>#REF!</v>
      </c>
      <c r="U39" s="420" t="e">
        <f t="shared" si="24"/>
        <v>#REF!</v>
      </c>
    </row>
    <row r="40" spans="1:21" x14ac:dyDescent="0.3">
      <c r="A40" s="386" t="s">
        <v>334</v>
      </c>
      <c r="B40" s="427" t="str">
        <f>B20</f>
        <v>18"</v>
      </c>
      <c r="C40" s="427" t="e">
        <f t="shared" si="25"/>
        <v>#REF!</v>
      </c>
      <c r="D40" s="417" t="e">
        <f t="shared" si="25"/>
        <v>#REF!</v>
      </c>
      <c r="E40" s="418" t="e">
        <f>L20</f>
        <v>#REF!</v>
      </c>
      <c r="F40" s="418" t="e">
        <f>E40/12</f>
        <v>#REF!</v>
      </c>
      <c r="M40" s="386" t="s">
        <v>334</v>
      </c>
      <c r="N40" s="427" t="str">
        <f>N20</f>
        <v>18"</v>
      </c>
      <c r="O40" s="427" t="e">
        <f t="shared" si="26"/>
        <v>#REF!</v>
      </c>
      <c r="P40" s="417" t="e">
        <f t="shared" si="26"/>
        <v>#REF!</v>
      </c>
      <c r="Q40" s="418" t="e">
        <f>X20</f>
        <v>#REF!</v>
      </c>
      <c r="R40" s="418" t="e">
        <f>Q40/12</f>
        <v>#REF!</v>
      </c>
      <c r="T40" s="420" t="e">
        <f t="shared" si="23"/>
        <v>#REF!</v>
      </c>
      <c r="U40" s="420" t="e">
        <f t="shared" si="24"/>
        <v>#REF!</v>
      </c>
    </row>
    <row r="41" spans="1:21" x14ac:dyDescent="0.3">
      <c r="B41" s="422" t="s">
        <v>710</v>
      </c>
      <c r="C41" s="423" t="e">
        <f>SUM(C35:C40)</f>
        <v>#REF!</v>
      </c>
      <c r="D41" s="428"/>
      <c r="E41" s="425" t="e">
        <f>SUM(E33:E40)</f>
        <v>#REF!</v>
      </c>
      <c r="F41" s="425" t="e">
        <f>SUM(F33:F40)</f>
        <v>#REF!</v>
      </c>
      <c r="M41" s="386"/>
      <c r="N41" s="386"/>
      <c r="O41" s="429"/>
      <c r="P41" s="389"/>
      <c r="Q41" s="425" t="e">
        <f>SUM(Q36:Q40)</f>
        <v>#REF!</v>
      </c>
      <c r="R41" s="425" t="e">
        <f>SUM(R36:R40)</f>
        <v>#REF!</v>
      </c>
      <c r="T41" s="426" t="e">
        <f>SUM(T36:T40)</f>
        <v>#REF!</v>
      </c>
    </row>
    <row r="42" spans="1:21" x14ac:dyDescent="0.3">
      <c r="T42" s="426"/>
    </row>
    <row r="43" spans="1:21" x14ac:dyDescent="0.3">
      <c r="T43" s="430" t="e">
        <f>T34+T41</f>
        <v>#REF!</v>
      </c>
    </row>
  </sheetData>
  <mergeCells count="10">
    <mergeCell ref="B23:F23"/>
    <mergeCell ref="N23:R23"/>
    <mergeCell ref="B34:F34"/>
    <mergeCell ref="N34:R34"/>
    <mergeCell ref="B1:L1"/>
    <mergeCell ref="N1:X1"/>
    <mergeCell ref="B3:L3"/>
    <mergeCell ref="N3:X3"/>
    <mergeCell ref="B14:L14"/>
    <mergeCell ref="N14:X14"/>
  </mergeCells>
  <pageMargins left="0.511811024" right="0.511811024" top="0.78740157499999996" bottom="0.78740157499999996" header="0.31496062000000002" footer="0.31496062000000002"/>
  <pageSetup paperSize="9" orientation="portrait"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21"/>
  <dimension ref="A1:AL43"/>
  <sheetViews>
    <sheetView showGridLines="0" topLeftCell="Y1" zoomScaleNormal="100" workbookViewId="0">
      <selection activeCell="J27" sqref="J27"/>
    </sheetView>
  </sheetViews>
  <sheetFormatPr defaultColWidth="9.109375" defaultRowHeight="14.4" x14ac:dyDescent="0.3"/>
  <cols>
    <col min="1" max="1" width="13.109375" style="378" customWidth="1"/>
    <col min="2" max="2" width="10.33203125" style="378" customWidth="1"/>
    <col min="3" max="3" width="14.44140625" style="378" customWidth="1"/>
    <col min="4" max="4" width="24.109375" style="378" bestFit="1" customWidth="1"/>
    <col min="5" max="5" width="16.33203125" style="378" bestFit="1" customWidth="1"/>
    <col min="6" max="6" width="15.44140625" style="378" bestFit="1" customWidth="1"/>
    <col min="7" max="7" width="17.33203125" style="378" bestFit="1" customWidth="1"/>
    <col min="8" max="8" width="17.6640625" style="378" bestFit="1" customWidth="1"/>
    <col min="9" max="9" width="12" style="378" bestFit="1" customWidth="1"/>
    <col min="10" max="10" width="12.33203125" style="378" bestFit="1" customWidth="1"/>
    <col min="11" max="11" width="13.44140625" style="378" bestFit="1" customWidth="1"/>
    <col min="12" max="12" width="16.44140625" style="378" bestFit="1" customWidth="1"/>
    <col min="13" max="13" width="9.109375" style="378"/>
    <col min="14" max="14" width="11.33203125" style="378" customWidth="1"/>
    <col min="15" max="15" width="13.88671875" style="378" bestFit="1" customWidth="1"/>
    <col min="16" max="16" width="24.109375" style="378" bestFit="1" customWidth="1"/>
    <col min="17" max="17" width="15.44140625" style="378" bestFit="1" customWidth="1"/>
    <col min="18" max="18" width="15.88671875" style="378" bestFit="1" customWidth="1"/>
    <col min="19" max="19" width="12" style="378" bestFit="1" customWidth="1"/>
    <col min="20" max="20" width="16.5546875" style="378" bestFit="1" customWidth="1"/>
    <col min="21" max="21" width="17.33203125" style="378" customWidth="1"/>
    <col min="22" max="22" width="11.33203125" style="378" bestFit="1" customWidth="1"/>
    <col min="23" max="23" width="15.5546875" style="378" bestFit="1" customWidth="1"/>
    <col min="24" max="24" width="15.44140625" style="378" bestFit="1" customWidth="1"/>
    <col min="25" max="25" width="9.109375" style="378"/>
    <col min="26" max="26" width="11.6640625" style="378" bestFit="1" customWidth="1"/>
    <col min="27" max="27" width="9.109375" style="378"/>
    <col min="28" max="28" width="14.88671875" style="378" bestFit="1" customWidth="1"/>
    <col min="29" max="29" width="15.5546875" style="378" bestFit="1" customWidth="1"/>
    <col min="30" max="31" width="14" style="378" bestFit="1" customWidth="1"/>
    <col min="32" max="32" width="14.33203125" style="378" bestFit="1" customWidth="1"/>
    <col min="33" max="33" width="14" style="378" bestFit="1" customWidth="1"/>
    <col min="34" max="34" width="15.5546875" style="378" bestFit="1" customWidth="1"/>
    <col min="35" max="35" width="9.109375" style="378"/>
    <col min="36" max="36" width="13.44140625" style="378" bestFit="1" customWidth="1"/>
    <col min="37" max="16384" width="9.109375" style="378"/>
  </cols>
  <sheetData>
    <row r="1" spans="1:38" x14ac:dyDescent="0.3">
      <c r="B1" s="1070" t="s">
        <v>446</v>
      </c>
      <c r="C1" s="1071"/>
      <c r="D1" s="1071"/>
      <c r="E1" s="1071"/>
      <c r="F1" s="1071"/>
      <c r="G1" s="1071"/>
      <c r="H1" s="1071"/>
      <c r="I1" s="1071"/>
      <c r="J1" s="1071"/>
      <c r="K1" s="1071"/>
      <c r="L1" s="1072"/>
      <c r="N1" s="1073" t="s">
        <v>662</v>
      </c>
      <c r="O1" s="1074"/>
      <c r="P1" s="1074"/>
      <c r="Q1" s="1074"/>
      <c r="R1" s="1074"/>
      <c r="S1" s="1074"/>
      <c r="T1" s="1074"/>
      <c r="U1" s="1074"/>
      <c r="V1" s="1074"/>
      <c r="W1" s="1074"/>
      <c r="X1" s="1075"/>
      <c r="Z1" s="379" t="s">
        <v>663</v>
      </c>
      <c r="AA1" s="379">
        <v>0.5</v>
      </c>
      <c r="AC1" s="379" t="s">
        <v>664</v>
      </c>
      <c r="AD1" s="379">
        <v>1.28298687</v>
      </c>
      <c r="AF1" s="379" t="s">
        <v>665</v>
      </c>
      <c r="AG1" s="379" t="e">
        <f>((D13+D21)/AD3)/(AD1*22)</f>
        <v>#REF!</v>
      </c>
    </row>
    <row r="2" spans="1:38" ht="6.6" customHeight="1" x14ac:dyDescent="0.3">
      <c r="B2" s="380"/>
      <c r="L2" s="381"/>
      <c r="N2" s="380"/>
      <c r="X2" s="381"/>
    </row>
    <row r="3" spans="1:38" ht="16.2" customHeight="1" x14ac:dyDescent="0.3">
      <c r="A3" s="431" t="s">
        <v>712</v>
      </c>
      <c r="B3" s="1076" t="s">
        <v>666</v>
      </c>
      <c r="C3" s="1077"/>
      <c r="D3" s="1077"/>
      <c r="E3" s="1077"/>
      <c r="F3" s="1077"/>
      <c r="G3" s="1077"/>
      <c r="H3" s="1077"/>
      <c r="I3" s="1077"/>
      <c r="J3" s="1077"/>
      <c r="K3" s="1077"/>
      <c r="L3" s="1078"/>
      <c r="N3" s="1079" t="s">
        <v>666</v>
      </c>
      <c r="O3" s="1080"/>
      <c r="P3" s="1080"/>
      <c r="Q3" s="1080"/>
      <c r="R3" s="1080"/>
      <c r="S3" s="1080"/>
      <c r="T3" s="1080"/>
      <c r="U3" s="1080"/>
      <c r="V3" s="1080"/>
      <c r="W3" s="1080"/>
      <c r="X3" s="1081"/>
      <c r="AC3" s="379" t="s">
        <v>667</v>
      </c>
      <c r="AD3" s="379">
        <v>6</v>
      </c>
    </row>
    <row r="4" spans="1:38" x14ac:dyDescent="0.3">
      <c r="A4" s="432">
        <v>0.3</v>
      </c>
      <c r="B4" s="382" t="s">
        <v>668</v>
      </c>
      <c r="C4" s="383" t="s">
        <v>669</v>
      </c>
      <c r="D4" s="383" t="s">
        <v>670</v>
      </c>
      <c r="E4" s="383" t="s">
        <v>671</v>
      </c>
      <c r="F4" s="383" t="s">
        <v>672</v>
      </c>
      <c r="G4" s="383" t="s">
        <v>673</v>
      </c>
      <c r="H4" s="383" t="s">
        <v>674</v>
      </c>
      <c r="I4" s="383" t="s">
        <v>675</v>
      </c>
      <c r="J4" s="383" t="s">
        <v>676</v>
      </c>
      <c r="K4" s="383" t="s">
        <v>677</v>
      </c>
      <c r="L4" s="384" t="s">
        <v>678</v>
      </c>
      <c r="N4" s="382" t="s">
        <v>668</v>
      </c>
      <c r="O4" s="383" t="s">
        <v>669</v>
      </c>
      <c r="P4" s="383" t="s">
        <v>670</v>
      </c>
      <c r="Q4" s="383" t="s">
        <v>671</v>
      </c>
      <c r="R4" s="383" t="s">
        <v>672</v>
      </c>
      <c r="S4" s="383" t="s">
        <v>673</v>
      </c>
      <c r="T4" s="383" t="s">
        <v>674</v>
      </c>
      <c r="U4" s="383" t="s">
        <v>675</v>
      </c>
      <c r="V4" s="383" t="s">
        <v>676</v>
      </c>
      <c r="W4" s="383" t="s">
        <v>677</v>
      </c>
      <c r="X4" s="384" t="s">
        <v>678</v>
      </c>
    </row>
    <row r="5" spans="1:38" x14ac:dyDescent="0.3">
      <c r="B5" s="385" t="s">
        <v>679</v>
      </c>
      <c r="C5" s="386">
        <v>3474</v>
      </c>
      <c r="D5" s="387" t="e">
        <f>#REF!*$A$4</f>
        <v>#REF!</v>
      </c>
      <c r="E5" s="388" t="e">
        <f t="shared" ref="E5:E12" si="0">D5*C5</f>
        <v>#REF!</v>
      </c>
      <c r="F5" s="386">
        <v>11000</v>
      </c>
      <c r="G5" s="386" t="e">
        <f t="shared" ref="G5:G12" si="1">E5/F5</f>
        <v>#REF!</v>
      </c>
      <c r="H5" s="386">
        <v>0.7</v>
      </c>
      <c r="I5" s="386" t="e">
        <f t="shared" ref="I5:I12" si="2">G5/H5</f>
        <v>#REF!</v>
      </c>
      <c r="J5" s="389" t="e">
        <f t="shared" ref="J5:J12" si="3">I5*24*365</f>
        <v>#REF!</v>
      </c>
      <c r="K5" s="386">
        <v>2.5</v>
      </c>
      <c r="L5" s="390" t="e">
        <f t="shared" ref="L5:L12" si="4">J5*K5*$AA$1</f>
        <v>#REF!</v>
      </c>
      <c r="N5" s="385" t="str">
        <f>B5</f>
        <v>3"</v>
      </c>
      <c r="O5" s="386">
        <f>'calc. perda energ'!C10</f>
        <v>126.273</v>
      </c>
      <c r="P5" s="387" t="e">
        <f>D5</f>
        <v>#REF!</v>
      </c>
      <c r="Q5" s="386" t="e">
        <f t="shared" ref="Q5:Q12" si="5">P5*O5</f>
        <v>#REF!</v>
      </c>
      <c r="R5" s="386">
        <v>11000</v>
      </c>
      <c r="S5" s="386" t="e">
        <f t="shared" ref="S5:S12" si="6">Q5/R5</f>
        <v>#REF!</v>
      </c>
      <c r="T5" s="386">
        <v>0.7</v>
      </c>
      <c r="U5" s="386" t="e">
        <f t="shared" ref="U5:U12" si="7">S5/T5</f>
        <v>#REF!</v>
      </c>
      <c r="V5" s="389" t="e">
        <f t="shared" ref="V5:V12" si="8">U5*24*365</f>
        <v>#REF!</v>
      </c>
      <c r="W5" s="386">
        <v>2.5</v>
      </c>
      <c r="X5" s="391" t="e">
        <f t="shared" ref="X5:X12" si="9">V5*W5*$AA$1</f>
        <v>#REF!</v>
      </c>
    </row>
    <row r="6" spans="1:38" x14ac:dyDescent="0.3">
      <c r="B6" s="385" t="s">
        <v>680</v>
      </c>
      <c r="C6" s="386">
        <v>3403</v>
      </c>
      <c r="D6" s="387" t="e">
        <f>#REF!*$A$4</f>
        <v>#REF!</v>
      </c>
      <c r="E6" s="388" t="e">
        <f t="shared" si="0"/>
        <v>#REF!</v>
      </c>
      <c r="F6" s="386">
        <v>11000</v>
      </c>
      <c r="G6" s="386" t="e">
        <f t="shared" si="1"/>
        <v>#REF!</v>
      </c>
      <c r="H6" s="386">
        <v>0.7</v>
      </c>
      <c r="I6" s="386" t="e">
        <f t="shared" si="2"/>
        <v>#REF!</v>
      </c>
      <c r="J6" s="389" t="e">
        <f t="shared" si="3"/>
        <v>#REF!</v>
      </c>
      <c r="K6" s="386">
        <v>2.5</v>
      </c>
      <c r="L6" s="390" t="e">
        <f t="shared" si="4"/>
        <v>#REF!</v>
      </c>
      <c r="N6" s="385" t="str">
        <f t="shared" ref="N6:N12" si="10">B6</f>
        <v>6"</v>
      </c>
      <c r="O6" s="386">
        <f>'calc. perda energ'!F10</f>
        <v>145.17099999999999</v>
      </c>
      <c r="P6" s="387" t="e">
        <f t="shared" ref="P6:P12" si="11">D6</f>
        <v>#REF!</v>
      </c>
      <c r="Q6" s="386" t="e">
        <f t="shared" si="5"/>
        <v>#REF!</v>
      </c>
      <c r="R6" s="386">
        <v>11000</v>
      </c>
      <c r="S6" s="386" t="e">
        <f t="shared" si="6"/>
        <v>#REF!</v>
      </c>
      <c r="T6" s="386">
        <v>0.7</v>
      </c>
      <c r="U6" s="386" t="e">
        <f t="shared" si="7"/>
        <v>#REF!</v>
      </c>
      <c r="V6" s="389" t="e">
        <f t="shared" si="8"/>
        <v>#REF!</v>
      </c>
      <c r="W6" s="386">
        <v>2.5</v>
      </c>
      <c r="X6" s="391" t="e">
        <f t="shared" si="9"/>
        <v>#REF!</v>
      </c>
      <c r="Z6" s="378">
        <f>2.5/2</f>
        <v>1.25</v>
      </c>
    </row>
    <row r="7" spans="1:38" x14ac:dyDescent="0.3">
      <c r="B7" s="385" t="s">
        <v>443</v>
      </c>
      <c r="C7" s="386">
        <v>3361</v>
      </c>
      <c r="D7" s="387" t="e">
        <f>#REF!*$A$4</f>
        <v>#REF!</v>
      </c>
      <c r="E7" s="388" t="e">
        <f t="shared" si="0"/>
        <v>#REF!</v>
      </c>
      <c r="F7" s="386">
        <v>11000</v>
      </c>
      <c r="G7" s="386" t="e">
        <f t="shared" si="1"/>
        <v>#REF!</v>
      </c>
      <c r="H7" s="386">
        <v>0.7</v>
      </c>
      <c r="I7" s="386" t="e">
        <f t="shared" si="2"/>
        <v>#REF!</v>
      </c>
      <c r="J7" s="389" t="e">
        <f t="shared" si="3"/>
        <v>#REF!</v>
      </c>
      <c r="K7" s="386">
        <v>2.5</v>
      </c>
      <c r="L7" s="390" t="e">
        <f t="shared" si="4"/>
        <v>#REF!</v>
      </c>
      <c r="N7" s="385" t="str">
        <f t="shared" si="10"/>
        <v>10"</v>
      </c>
      <c r="O7" s="386">
        <f>'calc. perda energ'!I10</f>
        <v>159.774</v>
      </c>
      <c r="P7" s="387" t="e">
        <f t="shared" si="11"/>
        <v>#REF!</v>
      </c>
      <c r="Q7" s="386" t="e">
        <f t="shared" si="5"/>
        <v>#REF!</v>
      </c>
      <c r="R7" s="386">
        <v>11000</v>
      </c>
      <c r="S7" s="386" t="e">
        <f t="shared" si="6"/>
        <v>#REF!</v>
      </c>
      <c r="T7" s="386">
        <v>0.7</v>
      </c>
      <c r="U7" s="386" t="e">
        <f t="shared" si="7"/>
        <v>#REF!</v>
      </c>
      <c r="V7" s="389" t="e">
        <f t="shared" si="8"/>
        <v>#REF!</v>
      </c>
      <c r="W7" s="386">
        <v>2.5</v>
      </c>
      <c r="X7" s="391" t="e">
        <f t="shared" si="9"/>
        <v>#REF!</v>
      </c>
    </row>
    <row r="8" spans="1:38" x14ac:dyDescent="0.3">
      <c r="B8" s="385" t="s">
        <v>681</v>
      </c>
      <c r="C8" s="386">
        <v>3348</v>
      </c>
      <c r="D8" s="387" t="e">
        <f>#REF!*$A$4</f>
        <v>#REF!</v>
      </c>
      <c r="E8" s="388" t="e">
        <f t="shared" si="0"/>
        <v>#REF!</v>
      </c>
      <c r="F8" s="386">
        <v>11000</v>
      </c>
      <c r="G8" s="386" t="e">
        <f t="shared" si="1"/>
        <v>#REF!</v>
      </c>
      <c r="H8" s="386">
        <v>0.7</v>
      </c>
      <c r="I8" s="386" t="e">
        <f t="shared" si="2"/>
        <v>#REF!</v>
      </c>
      <c r="J8" s="389" t="e">
        <f t="shared" si="3"/>
        <v>#REF!</v>
      </c>
      <c r="K8" s="386">
        <v>2.5</v>
      </c>
      <c r="L8" s="390" t="e">
        <f t="shared" si="4"/>
        <v>#REF!</v>
      </c>
      <c r="N8" s="385" t="str">
        <f t="shared" si="10"/>
        <v>12"</v>
      </c>
      <c r="O8" s="386">
        <f>'calc. perda energ'!L10</f>
        <v>161.49199999999999</v>
      </c>
      <c r="P8" s="387" t="e">
        <f t="shared" si="11"/>
        <v>#REF!</v>
      </c>
      <c r="Q8" s="386" t="e">
        <f t="shared" si="5"/>
        <v>#REF!</v>
      </c>
      <c r="R8" s="386">
        <v>11000</v>
      </c>
      <c r="S8" s="386" t="e">
        <f t="shared" si="6"/>
        <v>#REF!</v>
      </c>
      <c r="T8" s="386">
        <v>0.7</v>
      </c>
      <c r="U8" s="386" t="e">
        <f t="shared" si="7"/>
        <v>#REF!</v>
      </c>
      <c r="V8" s="389" t="e">
        <f t="shared" si="8"/>
        <v>#REF!</v>
      </c>
      <c r="W8" s="386">
        <v>2.5</v>
      </c>
      <c r="X8" s="391" t="e">
        <f t="shared" si="9"/>
        <v>#REF!</v>
      </c>
      <c r="AB8" s="392" t="s">
        <v>682</v>
      </c>
      <c r="AC8" s="393" t="s">
        <v>683</v>
      </c>
      <c r="AD8" s="393" t="s">
        <v>684</v>
      </c>
      <c r="AE8" s="393" t="s">
        <v>685</v>
      </c>
      <c r="AF8" s="393" t="s">
        <v>686</v>
      </c>
      <c r="AG8" s="393" t="s">
        <v>687</v>
      </c>
      <c r="AH8" s="393" t="s">
        <v>688</v>
      </c>
    </row>
    <row r="9" spans="1:38" x14ac:dyDescent="0.3">
      <c r="B9" s="385" t="s">
        <v>442</v>
      </c>
      <c r="C9" s="386">
        <v>3342</v>
      </c>
      <c r="D9" s="387" t="e">
        <f>#REF!*$A$4</f>
        <v>#REF!</v>
      </c>
      <c r="E9" s="388" t="e">
        <f t="shared" si="0"/>
        <v>#REF!</v>
      </c>
      <c r="F9" s="386">
        <v>11000</v>
      </c>
      <c r="G9" s="386" t="e">
        <f t="shared" si="1"/>
        <v>#REF!</v>
      </c>
      <c r="H9" s="386">
        <v>0.7</v>
      </c>
      <c r="I9" s="386" t="e">
        <f t="shared" si="2"/>
        <v>#REF!</v>
      </c>
      <c r="J9" s="389" t="e">
        <f t="shared" si="3"/>
        <v>#REF!</v>
      </c>
      <c r="K9" s="386">
        <v>2.5</v>
      </c>
      <c r="L9" s="390" t="e">
        <f t="shared" si="4"/>
        <v>#REF!</v>
      </c>
      <c r="N9" s="385" t="str">
        <f t="shared" si="10"/>
        <v>14"</v>
      </c>
      <c r="O9" s="386">
        <f>'calc. perda energ'!O10</f>
        <v>163</v>
      </c>
      <c r="P9" s="387" t="e">
        <f t="shared" si="11"/>
        <v>#REF!</v>
      </c>
      <c r="Q9" s="386" t="e">
        <f t="shared" si="5"/>
        <v>#REF!</v>
      </c>
      <c r="R9" s="386">
        <v>11000</v>
      </c>
      <c r="S9" s="386" t="e">
        <f t="shared" si="6"/>
        <v>#REF!</v>
      </c>
      <c r="T9" s="386">
        <v>0.7</v>
      </c>
      <c r="U9" s="386" t="e">
        <f t="shared" si="7"/>
        <v>#REF!</v>
      </c>
      <c r="V9" s="389" t="e">
        <f t="shared" si="8"/>
        <v>#REF!</v>
      </c>
      <c r="W9" s="386">
        <v>2.5</v>
      </c>
      <c r="X9" s="391" t="e">
        <f t="shared" si="9"/>
        <v>#REF!</v>
      </c>
      <c r="AB9" s="392" t="s">
        <v>689</v>
      </c>
      <c r="AC9" s="386">
        <v>4</v>
      </c>
      <c r="AD9" s="386">
        <f>$AD$3</f>
        <v>6</v>
      </c>
      <c r="AE9" s="386">
        <v>8</v>
      </c>
      <c r="AF9" s="386">
        <v>8</v>
      </c>
      <c r="AG9" s="386">
        <f>$AD$3</f>
        <v>6</v>
      </c>
      <c r="AH9" s="386">
        <v>5</v>
      </c>
    </row>
    <row r="10" spans="1:38" x14ac:dyDescent="0.3">
      <c r="B10" s="385" t="s">
        <v>690</v>
      </c>
      <c r="C10" s="386">
        <f>C7</f>
        <v>3361</v>
      </c>
      <c r="D10" s="387" t="e">
        <f>#REF!*$A$4</f>
        <v>#REF!</v>
      </c>
      <c r="E10" s="388" t="e">
        <f t="shared" si="0"/>
        <v>#REF!</v>
      </c>
      <c r="F10" s="386">
        <v>11000</v>
      </c>
      <c r="G10" s="386" t="e">
        <f t="shared" si="1"/>
        <v>#REF!</v>
      </c>
      <c r="H10" s="386">
        <v>0.7</v>
      </c>
      <c r="I10" s="386" t="e">
        <f t="shared" si="2"/>
        <v>#REF!</v>
      </c>
      <c r="J10" s="389" t="e">
        <f t="shared" si="3"/>
        <v>#REF!</v>
      </c>
      <c r="K10" s="386">
        <v>2.5</v>
      </c>
      <c r="L10" s="390" t="e">
        <f t="shared" si="4"/>
        <v>#REF!</v>
      </c>
      <c r="N10" s="385" t="str">
        <f t="shared" si="10"/>
        <v>16"</v>
      </c>
      <c r="O10" s="386">
        <f>O7</f>
        <v>159.774</v>
      </c>
      <c r="P10" s="387" t="e">
        <f t="shared" si="11"/>
        <v>#REF!</v>
      </c>
      <c r="Q10" s="386" t="e">
        <f t="shared" si="5"/>
        <v>#REF!</v>
      </c>
      <c r="R10" s="386">
        <v>11000</v>
      </c>
      <c r="S10" s="386" t="e">
        <f t="shared" si="6"/>
        <v>#REF!</v>
      </c>
      <c r="T10" s="386">
        <v>0.7</v>
      </c>
      <c r="U10" s="386" t="e">
        <f t="shared" si="7"/>
        <v>#REF!</v>
      </c>
      <c r="V10" s="389" t="e">
        <f t="shared" si="8"/>
        <v>#REF!</v>
      </c>
      <c r="W10" s="386">
        <v>2.5</v>
      </c>
      <c r="X10" s="391" t="e">
        <f t="shared" si="9"/>
        <v>#REF!</v>
      </c>
      <c r="AB10" s="392" t="s">
        <v>691</v>
      </c>
      <c r="AC10" s="429">
        <f t="shared" ref="AC10:AH10" si="12">AC9*$AD$1*22</f>
        <v>112.90284456000001</v>
      </c>
      <c r="AD10" s="429">
        <f t="shared" si="12"/>
        <v>169.35426683999998</v>
      </c>
      <c r="AE10" s="429">
        <f t="shared" si="12"/>
        <v>225.80568912000001</v>
      </c>
      <c r="AF10" s="429">
        <f t="shared" si="12"/>
        <v>225.80568912000001</v>
      </c>
      <c r="AG10" s="429">
        <f t="shared" si="12"/>
        <v>169.35426683999998</v>
      </c>
      <c r="AH10" s="429">
        <f t="shared" si="12"/>
        <v>141.12855569999999</v>
      </c>
      <c r="AJ10" s="394" t="s">
        <v>692</v>
      </c>
      <c r="AL10" s="394" t="s">
        <v>693</v>
      </c>
    </row>
    <row r="11" spans="1:38" x14ac:dyDescent="0.3">
      <c r="B11" s="385" t="s">
        <v>441</v>
      </c>
      <c r="C11" s="386">
        <v>3324</v>
      </c>
      <c r="D11" s="387" t="e">
        <f>#REF!*$A$4</f>
        <v>#REF!</v>
      </c>
      <c r="E11" s="388" t="e">
        <f t="shared" si="0"/>
        <v>#REF!</v>
      </c>
      <c r="F11" s="386">
        <v>11000</v>
      </c>
      <c r="G11" s="386" t="e">
        <f t="shared" si="1"/>
        <v>#REF!</v>
      </c>
      <c r="H11" s="386">
        <v>0.7</v>
      </c>
      <c r="I11" s="386" t="e">
        <f t="shared" si="2"/>
        <v>#REF!</v>
      </c>
      <c r="J11" s="389" t="e">
        <f t="shared" si="3"/>
        <v>#REF!</v>
      </c>
      <c r="K11" s="386">
        <v>2.5</v>
      </c>
      <c r="L11" s="390" t="e">
        <f t="shared" si="4"/>
        <v>#REF!</v>
      </c>
      <c r="N11" s="385" t="str">
        <f t="shared" si="10"/>
        <v>18"</v>
      </c>
      <c r="O11" s="386">
        <f>'calc. perda energ'!R10</f>
        <v>168</v>
      </c>
      <c r="P11" s="387" t="e">
        <f t="shared" si="11"/>
        <v>#REF!</v>
      </c>
      <c r="Q11" s="386" t="e">
        <f t="shared" si="5"/>
        <v>#REF!</v>
      </c>
      <c r="R11" s="386">
        <v>11000</v>
      </c>
      <c r="S11" s="386" t="e">
        <f t="shared" si="6"/>
        <v>#REF!</v>
      </c>
      <c r="T11" s="386">
        <v>0.7</v>
      </c>
      <c r="U11" s="386" t="e">
        <f t="shared" si="7"/>
        <v>#REF!</v>
      </c>
      <c r="V11" s="389" t="e">
        <f t="shared" si="8"/>
        <v>#REF!</v>
      </c>
      <c r="W11" s="386">
        <v>2.5</v>
      </c>
      <c r="X11" s="391" t="e">
        <f t="shared" si="9"/>
        <v>#REF!</v>
      </c>
      <c r="AB11" s="392" t="s">
        <v>694</v>
      </c>
      <c r="AC11" s="429">
        <f>AC10</f>
        <v>112.90284456000001</v>
      </c>
      <c r="AD11" s="429">
        <f>AC11+AD10</f>
        <v>282.25711139999999</v>
      </c>
      <c r="AE11" s="429">
        <f>AD11+AE10</f>
        <v>508.06280052</v>
      </c>
      <c r="AF11" s="429">
        <f>AE11+AF10</f>
        <v>733.86848964000001</v>
      </c>
      <c r="AG11" s="429">
        <f>AF11+AG10</f>
        <v>903.22275648000004</v>
      </c>
      <c r="AH11" s="429">
        <f>AG11+AH10</f>
        <v>1044.3513121800001</v>
      </c>
      <c r="AJ11" s="395" t="e">
        <f>D13+D21</f>
        <v>#REF!</v>
      </c>
      <c r="AL11" s="395" t="e">
        <f>AH11-AJ11</f>
        <v>#REF!</v>
      </c>
    </row>
    <row r="12" spans="1:38" x14ac:dyDescent="0.3">
      <c r="B12" s="385" t="s">
        <v>695</v>
      </c>
      <c r="C12" s="386">
        <f>C9</f>
        <v>3342</v>
      </c>
      <c r="D12" s="387" t="e">
        <f>#REF!*$A$4</f>
        <v>#REF!</v>
      </c>
      <c r="E12" s="388" t="e">
        <f t="shared" si="0"/>
        <v>#REF!</v>
      </c>
      <c r="F12" s="386">
        <v>11000</v>
      </c>
      <c r="G12" s="386" t="e">
        <f t="shared" si="1"/>
        <v>#REF!</v>
      </c>
      <c r="H12" s="386">
        <v>0.7</v>
      </c>
      <c r="I12" s="386" t="e">
        <f t="shared" si="2"/>
        <v>#REF!</v>
      </c>
      <c r="J12" s="389" t="e">
        <f t="shared" si="3"/>
        <v>#REF!</v>
      </c>
      <c r="K12" s="386">
        <v>2.5</v>
      </c>
      <c r="L12" s="390" t="e">
        <f t="shared" si="4"/>
        <v>#REF!</v>
      </c>
      <c r="N12" s="385" t="str">
        <f t="shared" si="10"/>
        <v>20"</v>
      </c>
      <c r="O12" s="386">
        <f>O9</f>
        <v>163</v>
      </c>
      <c r="P12" s="387" t="e">
        <f t="shared" si="11"/>
        <v>#REF!</v>
      </c>
      <c r="Q12" s="386" t="e">
        <f t="shared" si="5"/>
        <v>#REF!</v>
      </c>
      <c r="R12" s="386">
        <v>11000</v>
      </c>
      <c r="S12" s="386" t="e">
        <f t="shared" si="6"/>
        <v>#REF!</v>
      </c>
      <c r="T12" s="386">
        <v>0.7</v>
      </c>
      <c r="U12" s="386" t="e">
        <f t="shared" si="7"/>
        <v>#REF!</v>
      </c>
      <c r="V12" s="389" t="e">
        <f t="shared" si="8"/>
        <v>#REF!</v>
      </c>
      <c r="W12" s="386">
        <v>2.5</v>
      </c>
      <c r="X12" s="391" t="e">
        <f t="shared" si="9"/>
        <v>#REF!</v>
      </c>
      <c r="AB12" s="392" t="s">
        <v>696</v>
      </c>
      <c r="AC12" s="396" t="e">
        <f t="shared" ref="AC12:AH12" si="13">AC10*$AJ$14</f>
        <v>#REF!</v>
      </c>
      <c r="AD12" s="396" t="e">
        <f t="shared" si="13"/>
        <v>#REF!</v>
      </c>
      <c r="AE12" s="396" t="e">
        <f t="shared" si="13"/>
        <v>#REF!</v>
      </c>
      <c r="AF12" s="396" t="e">
        <f t="shared" si="13"/>
        <v>#REF!</v>
      </c>
      <c r="AG12" s="396" t="e">
        <f t="shared" si="13"/>
        <v>#REF!</v>
      </c>
      <c r="AH12" s="396" t="e">
        <f t="shared" si="13"/>
        <v>#REF!</v>
      </c>
    </row>
    <row r="13" spans="1:38" x14ac:dyDescent="0.3">
      <c r="B13" s="397"/>
      <c r="C13" s="398"/>
      <c r="D13" s="409" t="e">
        <f>SUM(D5:D12)</f>
        <v>#REF!</v>
      </c>
      <c r="E13" s="398"/>
      <c r="F13" s="398"/>
      <c r="G13" s="398"/>
      <c r="H13" s="398"/>
      <c r="I13" s="398"/>
      <c r="J13" s="398"/>
      <c r="K13" s="398"/>
      <c r="L13" s="400" t="e">
        <f>SUM(L5:L12)</f>
        <v>#REF!</v>
      </c>
      <c r="N13" s="397"/>
      <c r="O13" s="398"/>
      <c r="P13" s="409" t="e">
        <f>SUM(P5:P12)</f>
        <v>#REF!</v>
      </c>
      <c r="Q13" s="398"/>
      <c r="R13" s="398"/>
      <c r="S13" s="398"/>
      <c r="T13" s="398"/>
      <c r="U13" s="398"/>
      <c r="V13" s="398"/>
      <c r="W13" s="398"/>
      <c r="X13" s="400" t="e">
        <f>SUM(X5:X12)</f>
        <v>#REF!</v>
      </c>
      <c r="AB13" s="392" t="s">
        <v>697</v>
      </c>
      <c r="AC13" s="396" t="e">
        <f>AC12</f>
        <v>#REF!</v>
      </c>
      <c r="AD13" s="396" t="e">
        <f>AC13+AD12</f>
        <v>#REF!</v>
      </c>
      <c r="AE13" s="396" t="e">
        <f>AD13+AE12</f>
        <v>#REF!</v>
      </c>
      <c r="AF13" s="396" t="e">
        <f>AE13+AF12</f>
        <v>#REF!</v>
      </c>
      <c r="AG13" s="396" t="e">
        <f>AF13+AG12</f>
        <v>#REF!</v>
      </c>
      <c r="AH13" s="396" t="e">
        <f>AG13+AH12</f>
        <v>#REF!</v>
      </c>
      <c r="AJ13" s="378" t="s">
        <v>698</v>
      </c>
    </row>
    <row r="14" spans="1:38" x14ac:dyDescent="0.3">
      <c r="B14" s="1076" t="s">
        <v>699</v>
      </c>
      <c r="C14" s="1077"/>
      <c r="D14" s="1077"/>
      <c r="E14" s="1077"/>
      <c r="F14" s="1077"/>
      <c r="G14" s="1077"/>
      <c r="H14" s="1077"/>
      <c r="I14" s="1077"/>
      <c r="J14" s="1077"/>
      <c r="K14" s="1077"/>
      <c r="L14" s="1078"/>
      <c r="N14" s="1079" t="s">
        <v>699</v>
      </c>
      <c r="O14" s="1080"/>
      <c r="P14" s="1080"/>
      <c r="Q14" s="1080"/>
      <c r="R14" s="1080"/>
      <c r="S14" s="1080"/>
      <c r="T14" s="1080"/>
      <c r="U14" s="1080"/>
      <c r="V14" s="1080"/>
      <c r="W14" s="1080"/>
      <c r="X14" s="1081"/>
      <c r="AB14" s="392" t="s">
        <v>700</v>
      </c>
      <c r="AC14" s="401" t="e">
        <f t="shared" ref="AC14:AH14" si="14">$F$33+$F$41</f>
        <v>#REF!</v>
      </c>
      <c r="AD14" s="401" t="e">
        <f t="shared" si="14"/>
        <v>#REF!</v>
      </c>
      <c r="AE14" s="401" t="e">
        <f t="shared" si="14"/>
        <v>#REF!</v>
      </c>
      <c r="AF14" s="401" t="e">
        <f t="shared" si="14"/>
        <v>#REF!</v>
      </c>
      <c r="AG14" s="401" t="e">
        <f t="shared" si="14"/>
        <v>#REF!</v>
      </c>
      <c r="AH14" s="401" t="e">
        <f t="shared" si="14"/>
        <v>#REF!</v>
      </c>
      <c r="AJ14" s="402" t="e">
        <f>#REF!</f>
        <v>#REF!</v>
      </c>
    </row>
    <row r="15" spans="1:38" x14ac:dyDescent="0.3">
      <c r="B15" s="382" t="s">
        <v>668</v>
      </c>
      <c r="C15" s="383" t="s">
        <v>669</v>
      </c>
      <c r="D15" s="383" t="s">
        <v>670</v>
      </c>
      <c r="E15" s="383" t="s">
        <v>671</v>
      </c>
      <c r="F15" s="383" t="s">
        <v>672</v>
      </c>
      <c r="G15" s="383" t="s">
        <v>673</v>
      </c>
      <c r="H15" s="383" t="s">
        <v>674</v>
      </c>
      <c r="I15" s="383" t="s">
        <v>675</v>
      </c>
      <c r="J15" s="383" t="s">
        <v>676</v>
      </c>
      <c r="K15" s="383" t="s">
        <v>677</v>
      </c>
      <c r="L15" s="384" t="s">
        <v>678</v>
      </c>
      <c r="N15" s="382" t="s">
        <v>668</v>
      </c>
      <c r="O15" s="383" t="s">
        <v>669</v>
      </c>
      <c r="P15" s="383" t="s">
        <v>670</v>
      </c>
      <c r="Q15" s="383" t="s">
        <v>671</v>
      </c>
      <c r="R15" s="383" t="s">
        <v>672</v>
      </c>
      <c r="S15" s="383" t="s">
        <v>673</v>
      </c>
      <c r="T15" s="383" t="s">
        <v>674</v>
      </c>
      <c r="U15" s="383" t="s">
        <v>675</v>
      </c>
      <c r="V15" s="383" t="s">
        <v>676</v>
      </c>
      <c r="W15" s="383" t="s">
        <v>677</v>
      </c>
      <c r="X15" s="384" t="s">
        <v>678</v>
      </c>
    </row>
    <row r="16" spans="1:38" x14ac:dyDescent="0.3">
      <c r="B16" s="385" t="s">
        <v>680</v>
      </c>
      <c r="C16" s="386">
        <v>10600</v>
      </c>
      <c r="D16" s="403" t="e">
        <f>#REF!*$A$4</f>
        <v>#REF!</v>
      </c>
      <c r="E16" s="388" t="e">
        <f>D16*C16</f>
        <v>#REF!</v>
      </c>
      <c r="F16" s="386">
        <v>11000</v>
      </c>
      <c r="G16" s="386" t="e">
        <f>E16/F16</f>
        <v>#REF!</v>
      </c>
      <c r="H16" s="386">
        <v>0.7</v>
      </c>
      <c r="I16" s="386" t="e">
        <f>G16/H16</f>
        <v>#REF!</v>
      </c>
      <c r="J16" s="389" t="e">
        <f>I16*24*365</f>
        <v>#REF!</v>
      </c>
      <c r="K16" s="386">
        <v>2.5</v>
      </c>
      <c r="L16" s="390" t="e">
        <f>J16*K16*$AA$1</f>
        <v>#REF!</v>
      </c>
      <c r="N16" s="385" t="str">
        <f>B16</f>
        <v>6"</v>
      </c>
      <c r="O16" s="386">
        <v>200</v>
      </c>
      <c r="P16" s="403" t="e">
        <f>D16</f>
        <v>#REF!</v>
      </c>
      <c r="Q16" s="386" t="e">
        <f>P16*O16</f>
        <v>#REF!</v>
      </c>
      <c r="R16" s="386">
        <v>11000</v>
      </c>
      <c r="S16" s="386" t="e">
        <f>Q16/R16</f>
        <v>#REF!</v>
      </c>
      <c r="T16" s="386">
        <v>0.7</v>
      </c>
      <c r="U16" s="386" t="e">
        <f>S16/T16</f>
        <v>#REF!</v>
      </c>
      <c r="V16" s="389" t="e">
        <f>U16*24*365</f>
        <v>#REF!</v>
      </c>
      <c r="W16" s="386">
        <v>2.5</v>
      </c>
      <c r="X16" s="391" t="e">
        <f>V16*W16*$AA$1</f>
        <v>#REF!</v>
      </c>
    </row>
    <row r="17" spans="1:36" x14ac:dyDescent="0.3">
      <c r="B17" s="385" t="s">
        <v>701</v>
      </c>
      <c r="C17" s="386">
        <v>10659</v>
      </c>
      <c r="D17" s="403" t="e">
        <f>#REF!*$A$4</f>
        <v>#REF!</v>
      </c>
      <c r="E17" s="388" t="e">
        <f>D17*C17</f>
        <v>#REF!</v>
      </c>
      <c r="F17" s="386">
        <v>11000</v>
      </c>
      <c r="G17" s="386" t="e">
        <f>E17/F17</f>
        <v>#REF!</v>
      </c>
      <c r="H17" s="386">
        <v>0.7</v>
      </c>
      <c r="I17" s="386" t="e">
        <f>G17/H17</f>
        <v>#REF!</v>
      </c>
      <c r="J17" s="389" t="e">
        <f>I17*24*365</f>
        <v>#REF!</v>
      </c>
      <c r="K17" s="386">
        <v>2.5</v>
      </c>
      <c r="L17" s="390" t="e">
        <f>J17*K17*$AA$1</f>
        <v>#REF!</v>
      </c>
      <c r="N17" s="385" t="str">
        <f>B17</f>
        <v>8"</v>
      </c>
      <c r="O17" s="386">
        <f>'calc. perda energ'!C24</f>
        <v>220.76300000000001</v>
      </c>
      <c r="P17" s="403" t="e">
        <f>D17</f>
        <v>#REF!</v>
      </c>
      <c r="Q17" s="386" t="e">
        <f>P17*O17</f>
        <v>#REF!</v>
      </c>
      <c r="R17" s="386">
        <v>11000</v>
      </c>
      <c r="S17" s="386" t="e">
        <f>Q17/R17</f>
        <v>#REF!</v>
      </c>
      <c r="T17" s="386">
        <v>0.7</v>
      </c>
      <c r="U17" s="386" t="e">
        <f>S17/T17</f>
        <v>#REF!</v>
      </c>
      <c r="V17" s="389" t="e">
        <f>U17*24*365</f>
        <v>#REF!</v>
      </c>
      <c r="W17" s="386">
        <v>2.5</v>
      </c>
      <c r="X17" s="391" t="e">
        <f>V17*W17*$AA$1</f>
        <v>#REF!</v>
      </c>
      <c r="AJ17" s="378">
        <v>1044.3513119999998</v>
      </c>
    </row>
    <row r="18" spans="1:36" x14ac:dyDescent="0.3">
      <c r="B18" s="385" t="s">
        <v>443</v>
      </c>
      <c r="C18" s="386">
        <v>10882</v>
      </c>
      <c r="D18" s="403" t="e">
        <f>#REF!*$A$4</f>
        <v>#REF!</v>
      </c>
      <c r="E18" s="388" t="e">
        <f>D18*C18</f>
        <v>#REF!</v>
      </c>
      <c r="F18" s="386">
        <v>11000</v>
      </c>
      <c r="G18" s="386" t="e">
        <f>E18/F18</f>
        <v>#REF!</v>
      </c>
      <c r="H18" s="386">
        <v>0.7</v>
      </c>
      <c r="I18" s="386" t="e">
        <f>G18/H18</f>
        <v>#REF!</v>
      </c>
      <c r="J18" s="389" t="e">
        <f>I18*24*365</f>
        <v>#REF!</v>
      </c>
      <c r="K18" s="386">
        <v>2.5</v>
      </c>
      <c r="L18" s="390" t="e">
        <f>J18*K18*$AA$1</f>
        <v>#REF!</v>
      </c>
      <c r="N18" s="385" t="str">
        <f>B18</f>
        <v>10"</v>
      </c>
      <c r="O18" s="386">
        <f>'calc. perda energ'!F24</f>
        <v>230.21199999999999</v>
      </c>
      <c r="P18" s="403" t="e">
        <f>D18</f>
        <v>#REF!</v>
      </c>
      <c r="Q18" s="386" t="e">
        <f>P18*O18</f>
        <v>#REF!</v>
      </c>
      <c r="R18" s="386">
        <v>11000</v>
      </c>
      <c r="S18" s="386" t="e">
        <f>Q18/R18</f>
        <v>#REF!</v>
      </c>
      <c r="T18" s="386">
        <v>0.7</v>
      </c>
      <c r="U18" s="386" t="e">
        <f>S18/T18</f>
        <v>#REF!</v>
      </c>
      <c r="V18" s="389" t="e">
        <f>U18*24*365</f>
        <v>#REF!</v>
      </c>
      <c r="W18" s="386">
        <v>2.5</v>
      </c>
      <c r="X18" s="391" t="e">
        <f>V18*W18*$AA$1</f>
        <v>#REF!</v>
      </c>
    </row>
    <row r="19" spans="1:36" x14ac:dyDescent="0.3">
      <c r="B19" s="385" t="s">
        <v>681</v>
      </c>
      <c r="C19" s="386">
        <v>10854</v>
      </c>
      <c r="D19" s="403" t="e">
        <f>#REF!*$A$4</f>
        <v>#REF!</v>
      </c>
      <c r="E19" s="388" t="e">
        <f>D19*C19</f>
        <v>#REF!</v>
      </c>
      <c r="F19" s="386">
        <v>11000</v>
      </c>
      <c r="G19" s="386" t="e">
        <f>E19/F19</f>
        <v>#REF!</v>
      </c>
      <c r="H19" s="386">
        <v>0.7</v>
      </c>
      <c r="I19" s="386" t="e">
        <f>G19/H19</f>
        <v>#REF!</v>
      </c>
      <c r="J19" s="389" t="e">
        <f>I19*24*365</f>
        <v>#REF!</v>
      </c>
      <c r="K19" s="386">
        <v>2.5</v>
      </c>
      <c r="L19" s="390" t="e">
        <f>J19*K19*$AA$1</f>
        <v>#REF!</v>
      </c>
      <c r="N19" s="385" t="str">
        <f>B19</f>
        <v>12"</v>
      </c>
      <c r="O19" s="386">
        <f>'calc. perda energ'!I24</f>
        <v>237.084</v>
      </c>
      <c r="P19" s="403" t="e">
        <f>D19</f>
        <v>#REF!</v>
      </c>
      <c r="Q19" s="386" t="e">
        <f>P19*O19</f>
        <v>#REF!</v>
      </c>
      <c r="R19" s="386">
        <v>11000</v>
      </c>
      <c r="S19" s="386" t="e">
        <f>Q19/R19</f>
        <v>#REF!</v>
      </c>
      <c r="T19" s="386">
        <v>0.7</v>
      </c>
      <c r="U19" s="386" t="e">
        <f>S19/T19</f>
        <v>#REF!</v>
      </c>
      <c r="V19" s="389" t="e">
        <f>U19*24*365</f>
        <v>#REF!</v>
      </c>
      <c r="W19" s="386">
        <v>2.5</v>
      </c>
      <c r="X19" s="391" t="e">
        <f>V19*W19*$AA$1</f>
        <v>#REF!</v>
      </c>
    </row>
    <row r="20" spans="1:36" x14ac:dyDescent="0.3">
      <c r="B20" s="404" t="s">
        <v>441</v>
      </c>
      <c r="C20" s="405">
        <v>10805</v>
      </c>
      <c r="D20" s="403" t="e">
        <f>#REF!*$A$4</f>
        <v>#REF!</v>
      </c>
      <c r="E20" s="407" t="e">
        <f>D20*C20</f>
        <v>#REF!</v>
      </c>
      <c r="F20" s="405">
        <v>11000</v>
      </c>
      <c r="G20" s="405" t="e">
        <f>E20/F20</f>
        <v>#REF!</v>
      </c>
      <c r="H20" s="405">
        <v>0.7</v>
      </c>
      <c r="I20" s="405" t="e">
        <f>G20/H20</f>
        <v>#REF!</v>
      </c>
      <c r="J20" s="408" t="e">
        <f>I20*24*365</f>
        <v>#REF!</v>
      </c>
      <c r="K20" s="405">
        <v>2.5</v>
      </c>
      <c r="L20" s="390" t="e">
        <f>J20*K20*$AA$1</f>
        <v>#REF!</v>
      </c>
      <c r="N20" s="404" t="str">
        <f>B20</f>
        <v>18"</v>
      </c>
      <c r="O20" s="405">
        <f>'calc. perda energ'!O24</f>
        <v>249</v>
      </c>
      <c r="P20" s="406" t="e">
        <f>D20</f>
        <v>#REF!</v>
      </c>
      <c r="Q20" s="405" t="e">
        <f>P20*O20</f>
        <v>#REF!</v>
      </c>
      <c r="R20" s="405">
        <v>11000</v>
      </c>
      <c r="S20" s="405" t="e">
        <f>Q20/R20</f>
        <v>#REF!</v>
      </c>
      <c r="T20" s="405">
        <v>0.7</v>
      </c>
      <c r="U20" s="405" t="e">
        <f>S20/T20</f>
        <v>#REF!</v>
      </c>
      <c r="V20" s="408" t="e">
        <f>U20*24*365</f>
        <v>#REF!</v>
      </c>
      <c r="W20" s="405">
        <v>2.5</v>
      </c>
      <c r="X20" s="391" t="e">
        <f>V20*W20*$AA$1</f>
        <v>#REF!</v>
      </c>
    </row>
    <row r="21" spans="1:36" x14ac:dyDescent="0.3">
      <c r="B21" s="397"/>
      <c r="C21" s="398"/>
      <c r="D21" s="409" t="e">
        <f>SUM(D16:D20)</f>
        <v>#REF!</v>
      </c>
      <c r="E21" s="398"/>
      <c r="F21" s="398"/>
      <c r="G21" s="398"/>
      <c r="H21" s="398"/>
      <c r="I21" s="398"/>
      <c r="J21" s="398"/>
      <c r="K21" s="398"/>
      <c r="L21" s="400" t="e">
        <f>SUM(L16:L20)</f>
        <v>#REF!</v>
      </c>
      <c r="N21" s="397"/>
      <c r="O21" s="398"/>
      <c r="P21" s="409" t="e">
        <f>SUM(P16:P20)</f>
        <v>#REF!</v>
      </c>
      <c r="Q21" s="398"/>
      <c r="R21" s="398"/>
      <c r="S21" s="398"/>
      <c r="T21" s="398"/>
      <c r="U21" s="398"/>
      <c r="V21" s="398"/>
      <c r="W21" s="398"/>
      <c r="X21" s="400" t="e">
        <f>SUM(X16:X20)</f>
        <v>#REF!</v>
      </c>
    </row>
    <row r="23" spans="1:36" x14ac:dyDescent="0.3">
      <c r="B23" s="1069" t="s">
        <v>702</v>
      </c>
      <c r="C23" s="1069"/>
      <c r="D23" s="1069"/>
      <c r="E23" s="1069"/>
      <c r="F23" s="1069"/>
      <c r="N23" s="1069" t="s">
        <v>702</v>
      </c>
      <c r="O23" s="1069"/>
      <c r="P23" s="1069"/>
      <c r="Q23" s="1069"/>
      <c r="R23" s="1069"/>
    </row>
    <row r="24" spans="1:36" ht="27.6" x14ac:dyDescent="0.3">
      <c r="B24" s="410" t="s">
        <v>703</v>
      </c>
      <c r="C24" s="411" t="s">
        <v>47</v>
      </c>
      <c r="D24" s="410" t="s">
        <v>704</v>
      </c>
      <c r="E24" s="410" t="s">
        <v>705</v>
      </c>
      <c r="F24" s="410" t="s">
        <v>706</v>
      </c>
      <c r="H24" s="412"/>
      <c r="N24" s="410" t="s">
        <v>703</v>
      </c>
      <c r="O24" s="411" t="s">
        <v>47</v>
      </c>
      <c r="P24" s="410" t="s">
        <v>707</v>
      </c>
      <c r="Q24" s="410" t="s">
        <v>705</v>
      </c>
      <c r="R24" s="410" t="s">
        <v>706</v>
      </c>
      <c r="T24" s="413" t="s">
        <v>708</v>
      </c>
      <c r="U24" s="413" t="s">
        <v>709</v>
      </c>
      <c r="W24" s="414" t="str">
        <f>T24</f>
        <v>ECONOMIA ENERGIA (ano)</v>
      </c>
      <c r="X24" s="414" t="str">
        <f>W24</f>
        <v>ECONOMIA ENERGIA (ano)</v>
      </c>
    </row>
    <row r="25" spans="1:36" x14ac:dyDescent="0.3">
      <c r="A25" s="386" t="s">
        <v>333</v>
      </c>
      <c r="B25" s="415" t="str">
        <f t="shared" ref="B25:B32" si="15">B5</f>
        <v>3"</v>
      </c>
      <c r="C25" s="416" t="e">
        <f>D5</f>
        <v>#REF!</v>
      </c>
      <c r="D25" s="417" t="e">
        <f>E5</f>
        <v>#REF!</v>
      </c>
      <c r="E25" s="418" t="e">
        <f t="shared" ref="E25:E32" si="16">L5</f>
        <v>#REF!</v>
      </c>
      <c r="F25" s="418" t="e">
        <f>E25/12</f>
        <v>#REF!</v>
      </c>
      <c r="G25" s="394"/>
      <c r="H25" s="419"/>
      <c r="M25" s="386" t="s">
        <v>333</v>
      </c>
      <c r="N25" s="415" t="str">
        <f t="shared" ref="N25:N32" si="17">N5</f>
        <v>3"</v>
      </c>
      <c r="O25" s="416" t="e">
        <f>P5</f>
        <v>#REF!</v>
      </c>
      <c r="P25" s="417" t="e">
        <f>Q5</f>
        <v>#REF!</v>
      </c>
      <c r="Q25" s="418" t="e">
        <f t="shared" ref="Q25:Q32" si="18">X5</f>
        <v>#REF!</v>
      </c>
      <c r="R25" s="418" t="e">
        <f>Q25/12</f>
        <v>#REF!</v>
      </c>
      <c r="T25" s="420" t="e">
        <f>E25-Q25</f>
        <v>#REF!</v>
      </c>
      <c r="U25" s="420" t="e">
        <f>T25/12</f>
        <v>#REF!</v>
      </c>
      <c r="W25" s="421" t="e">
        <f>T34</f>
        <v>#REF!</v>
      </c>
      <c r="X25" s="421" t="e">
        <f>T41</f>
        <v>#REF!</v>
      </c>
    </row>
    <row r="26" spans="1:36" x14ac:dyDescent="0.3">
      <c r="A26" s="386" t="s">
        <v>333</v>
      </c>
      <c r="B26" s="415" t="str">
        <f t="shared" si="15"/>
        <v>6"</v>
      </c>
      <c r="C26" s="416" t="e">
        <f t="shared" ref="C26:D32" si="19">D6</f>
        <v>#REF!</v>
      </c>
      <c r="D26" s="417" t="e">
        <f t="shared" si="19"/>
        <v>#REF!</v>
      </c>
      <c r="E26" s="418" t="e">
        <f t="shared" si="16"/>
        <v>#REF!</v>
      </c>
      <c r="F26" s="418" t="e">
        <f t="shared" ref="F26:F32" si="20">E26/12</f>
        <v>#REF!</v>
      </c>
      <c r="M26" s="386" t="s">
        <v>333</v>
      </c>
      <c r="N26" s="415" t="str">
        <f t="shared" si="17"/>
        <v>6"</v>
      </c>
      <c r="O26" s="416" t="e">
        <f t="shared" ref="O26:P32" si="21">P6</f>
        <v>#REF!</v>
      </c>
      <c r="P26" s="417" t="e">
        <f t="shared" si="21"/>
        <v>#REF!</v>
      </c>
      <c r="Q26" s="418" t="e">
        <f t="shared" si="18"/>
        <v>#REF!</v>
      </c>
      <c r="R26" s="418" t="e">
        <f t="shared" ref="R26:R32" si="22">Q26/12</f>
        <v>#REF!</v>
      </c>
      <c r="T26" s="420" t="e">
        <f t="shared" ref="T26:T40" si="23">E26-Q26</f>
        <v>#REF!</v>
      </c>
      <c r="U26" s="420" t="e">
        <f t="shared" ref="U26:U40" si="24">T26/12</f>
        <v>#REF!</v>
      </c>
      <c r="W26" s="419" t="e">
        <f>W25/12</f>
        <v>#REF!</v>
      </c>
      <c r="X26" s="419" t="e">
        <f>X25/12</f>
        <v>#REF!</v>
      </c>
    </row>
    <row r="27" spans="1:36" x14ac:dyDescent="0.3">
      <c r="A27" s="386" t="s">
        <v>333</v>
      </c>
      <c r="B27" s="415" t="str">
        <f t="shared" si="15"/>
        <v>10"</v>
      </c>
      <c r="C27" s="416" t="e">
        <f t="shared" si="19"/>
        <v>#REF!</v>
      </c>
      <c r="D27" s="417" t="e">
        <f t="shared" si="19"/>
        <v>#REF!</v>
      </c>
      <c r="E27" s="418" t="e">
        <f t="shared" si="16"/>
        <v>#REF!</v>
      </c>
      <c r="F27" s="418" t="e">
        <f t="shared" si="20"/>
        <v>#REF!</v>
      </c>
      <c r="M27" s="386" t="s">
        <v>333</v>
      </c>
      <c r="N27" s="415" t="str">
        <f t="shared" si="17"/>
        <v>10"</v>
      </c>
      <c r="O27" s="416" t="e">
        <f t="shared" si="21"/>
        <v>#REF!</v>
      </c>
      <c r="P27" s="417" t="e">
        <f t="shared" si="21"/>
        <v>#REF!</v>
      </c>
      <c r="Q27" s="418" t="e">
        <f t="shared" si="18"/>
        <v>#REF!</v>
      </c>
      <c r="R27" s="418" t="e">
        <f t="shared" si="22"/>
        <v>#REF!</v>
      </c>
      <c r="T27" s="420" t="e">
        <f t="shared" si="23"/>
        <v>#REF!</v>
      </c>
      <c r="U27" s="420" t="e">
        <f t="shared" si="24"/>
        <v>#REF!</v>
      </c>
    </row>
    <row r="28" spans="1:36" x14ac:dyDescent="0.3">
      <c r="A28" s="386" t="s">
        <v>333</v>
      </c>
      <c r="B28" s="415" t="str">
        <f t="shared" si="15"/>
        <v>12"</v>
      </c>
      <c r="C28" s="416" t="e">
        <f t="shared" si="19"/>
        <v>#REF!</v>
      </c>
      <c r="D28" s="417" t="e">
        <f t="shared" si="19"/>
        <v>#REF!</v>
      </c>
      <c r="E28" s="418" t="e">
        <f t="shared" si="16"/>
        <v>#REF!</v>
      </c>
      <c r="F28" s="418" t="e">
        <f t="shared" si="20"/>
        <v>#REF!</v>
      </c>
      <c r="M28" s="386" t="s">
        <v>333</v>
      </c>
      <c r="N28" s="415" t="str">
        <f t="shared" si="17"/>
        <v>12"</v>
      </c>
      <c r="O28" s="416" t="e">
        <f t="shared" si="21"/>
        <v>#REF!</v>
      </c>
      <c r="P28" s="417" t="e">
        <f t="shared" si="21"/>
        <v>#REF!</v>
      </c>
      <c r="Q28" s="418" t="e">
        <f t="shared" si="18"/>
        <v>#REF!</v>
      </c>
      <c r="R28" s="418" t="e">
        <f t="shared" si="22"/>
        <v>#REF!</v>
      </c>
      <c r="T28" s="420" t="e">
        <f t="shared" si="23"/>
        <v>#REF!</v>
      </c>
      <c r="U28" s="420" t="e">
        <f t="shared" si="24"/>
        <v>#REF!</v>
      </c>
    </row>
    <row r="29" spans="1:36" x14ac:dyDescent="0.3">
      <c r="A29" s="386" t="s">
        <v>333</v>
      </c>
      <c r="B29" s="415" t="str">
        <f t="shared" si="15"/>
        <v>14"</v>
      </c>
      <c r="C29" s="416" t="e">
        <f t="shared" si="19"/>
        <v>#REF!</v>
      </c>
      <c r="D29" s="417" t="e">
        <f t="shared" si="19"/>
        <v>#REF!</v>
      </c>
      <c r="E29" s="418" t="e">
        <f t="shared" si="16"/>
        <v>#REF!</v>
      </c>
      <c r="F29" s="418" t="e">
        <f t="shared" si="20"/>
        <v>#REF!</v>
      </c>
      <c r="M29" s="386" t="s">
        <v>333</v>
      </c>
      <c r="N29" s="415" t="str">
        <f t="shared" si="17"/>
        <v>14"</v>
      </c>
      <c r="O29" s="416" t="e">
        <f t="shared" si="21"/>
        <v>#REF!</v>
      </c>
      <c r="P29" s="417" t="e">
        <f t="shared" si="21"/>
        <v>#REF!</v>
      </c>
      <c r="Q29" s="418" t="e">
        <f t="shared" si="18"/>
        <v>#REF!</v>
      </c>
      <c r="R29" s="418" t="e">
        <f t="shared" si="22"/>
        <v>#REF!</v>
      </c>
      <c r="T29" s="420" t="e">
        <f t="shared" si="23"/>
        <v>#REF!</v>
      </c>
      <c r="U29" s="420" t="e">
        <f t="shared" si="24"/>
        <v>#REF!</v>
      </c>
    </row>
    <row r="30" spans="1:36" x14ac:dyDescent="0.3">
      <c r="A30" s="386" t="s">
        <v>333</v>
      </c>
      <c r="B30" s="415" t="str">
        <f t="shared" si="15"/>
        <v>16"</v>
      </c>
      <c r="C30" s="416" t="e">
        <f t="shared" si="19"/>
        <v>#REF!</v>
      </c>
      <c r="D30" s="417" t="e">
        <f t="shared" si="19"/>
        <v>#REF!</v>
      </c>
      <c r="E30" s="418" t="e">
        <f t="shared" si="16"/>
        <v>#REF!</v>
      </c>
      <c r="F30" s="418" t="e">
        <f t="shared" si="20"/>
        <v>#REF!</v>
      </c>
      <c r="M30" s="386" t="s">
        <v>333</v>
      </c>
      <c r="N30" s="415" t="str">
        <f t="shared" si="17"/>
        <v>16"</v>
      </c>
      <c r="O30" s="416" t="e">
        <f t="shared" si="21"/>
        <v>#REF!</v>
      </c>
      <c r="P30" s="417" t="e">
        <f t="shared" si="21"/>
        <v>#REF!</v>
      </c>
      <c r="Q30" s="418" t="e">
        <f t="shared" si="18"/>
        <v>#REF!</v>
      </c>
      <c r="R30" s="418" t="e">
        <f t="shared" si="22"/>
        <v>#REF!</v>
      </c>
      <c r="T30" s="420" t="e">
        <f t="shared" si="23"/>
        <v>#REF!</v>
      </c>
      <c r="U30" s="420" t="e">
        <f t="shared" si="24"/>
        <v>#REF!</v>
      </c>
    </row>
    <row r="31" spans="1:36" x14ac:dyDescent="0.3">
      <c r="A31" s="386" t="s">
        <v>333</v>
      </c>
      <c r="B31" s="415" t="str">
        <f t="shared" si="15"/>
        <v>18"</v>
      </c>
      <c r="C31" s="416" t="e">
        <f t="shared" si="19"/>
        <v>#REF!</v>
      </c>
      <c r="D31" s="417" t="e">
        <f t="shared" si="19"/>
        <v>#REF!</v>
      </c>
      <c r="E31" s="418" t="e">
        <f t="shared" si="16"/>
        <v>#REF!</v>
      </c>
      <c r="F31" s="418" t="e">
        <f t="shared" si="20"/>
        <v>#REF!</v>
      </c>
      <c r="M31" s="386" t="s">
        <v>333</v>
      </c>
      <c r="N31" s="415" t="str">
        <f t="shared" si="17"/>
        <v>18"</v>
      </c>
      <c r="O31" s="416" t="e">
        <f t="shared" si="21"/>
        <v>#REF!</v>
      </c>
      <c r="P31" s="417" t="e">
        <f t="shared" si="21"/>
        <v>#REF!</v>
      </c>
      <c r="Q31" s="418" t="e">
        <f t="shared" si="18"/>
        <v>#REF!</v>
      </c>
      <c r="R31" s="418" t="e">
        <f t="shared" si="22"/>
        <v>#REF!</v>
      </c>
      <c r="T31" s="420" t="e">
        <f t="shared" si="23"/>
        <v>#REF!</v>
      </c>
      <c r="U31" s="420" t="e">
        <f t="shared" si="24"/>
        <v>#REF!</v>
      </c>
    </row>
    <row r="32" spans="1:36" x14ac:dyDescent="0.3">
      <c r="A32" s="386" t="s">
        <v>333</v>
      </c>
      <c r="B32" s="415" t="str">
        <f t="shared" si="15"/>
        <v>20"</v>
      </c>
      <c r="C32" s="416" t="e">
        <f t="shared" si="19"/>
        <v>#REF!</v>
      </c>
      <c r="D32" s="417" t="e">
        <f t="shared" si="19"/>
        <v>#REF!</v>
      </c>
      <c r="E32" s="418" t="e">
        <f t="shared" si="16"/>
        <v>#REF!</v>
      </c>
      <c r="F32" s="418" t="e">
        <f t="shared" si="20"/>
        <v>#REF!</v>
      </c>
      <c r="M32" s="386" t="s">
        <v>333</v>
      </c>
      <c r="N32" s="415" t="str">
        <f t="shared" si="17"/>
        <v>20"</v>
      </c>
      <c r="O32" s="416" t="e">
        <f t="shared" si="21"/>
        <v>#REF!</v>
      </c>
      <c r="P32" s="417" t="e">
        <f t="shared" si="21"/>
        <v>#REF!</v>
      </c>
      <c r="Q32" s="418" t="e">
        <f t="shared" si="18"/>
        <v>#REF!</v>
      </c>
      <c r="R32" s="418" t="e">
        <f t="shared" si="22"/>
        <v>#REF!</v>
      </c>
      <c r="T32" s="420" t="e">
        <f t="shared" si="23"/>
        <v>#REF!</v>
      </c>
      <c r="U32" s="420" t="e">
        <f t="shared" si="24"/>
        <v>#REF!</v>
      </c>
    </row>
    <row r="33" spans="1:21" x14ac:dyDescent="0.3">
      <c r="A33" s="386"/>
      <c r="B33" s="422" t="s">
        <v>710</v>
      </c>
      <c r="C33" s="423" t="e">
        <f>SUM(C25:C32)</f>
        <v>#REF!</v>
      </c>
      <c r="D33" s="424"/>
      <c r="E33" s="425" t="e">
        <f>SUM(E25:E32)</f>
        <v>#REF!</v>
      </c>
      <c r="F33" s="425" t="e">
        <f>SUM(F25:F32)</f>
        <v>#REF!</v>
      </c>
      <c r="H33" s="419"/>
      <c r="M33" s="386"/>
      <c r="N33" s="422"/>
      <c r="O33" s="423"/>
      <c r="P33" s="424"/>
      <c r="Q33" s="425" t="e">
        <f>SUM(Q25:Q32)</f>
        <v>#REF!</v>
      </c>
      <c r="R33" s="425" t="e">
        <f>SUM(R25:R32)</f>
        <v>#REF!</v>
      </c>
      <c r="T33" s="420"/>
      <c r="U33" s="420"/>
    </row>
    <row r="34" spans="1:21" x14ac:dyDescent="0.3">
      <c r="A34" s="386"/>
      <c r="B34" s="1069" t="s">
        <v>711</v>
      </c>
      <c r="C34" s="1069"/>
      <c r="D34" s="1069"/>
      <c r="E34" s="1069"/>
      <c r="F34" s="1069"/>
      <c r="H34" s="419"/>
      <c r="M34" s="386"/>
      <c r="N34" s="1069" t="s">
        <v>711</v>
      </c>
      <c r="O34" s="1069"/>
      <c r="P34" s="1069"/>
      <c r="Q34" s="1069"/>
      <c r="R34" s="1069"/>
      <c r="T34" s="426" t="e">
        <f>SUM(T25:T32)</f>
        <v>#REF!</v>
      </c>
      <c r="U34" s="420"/>
    </row>
    <row r="35" spans="1:21" x14ac:dyDescent="0.3">
      <c r="B35" s="410" t="s">
        <v>703</v>
      </c>
      <c r="C35" s="410" t="s">
        <v>47</v>
      </c>
      <c r="D35" s="410" t="s">
        <v>704</v>
      </c>
      <c r="E35" s="410" t="s">
        <v>705</v>
      </c>
      <c r="F35" s="410" t="s">
        <v>706</v>
      </c>
      <c r="N35" s="410" t="s">
        <v>703</v>
      </c>
      <c r="O35" s="410" t="s">
        <v>47</v>
      </c>
      <c r="P35" s="410" t="s">
        <v>707</v>
      </c>
      <c r="Q35" s="410" t="s">
        <v>705</v>
      </c>
      <c r="R35" s="410" t="s">
        <v>706</v>
      </c>
      <c r="T35" s="420"/>
      <c r="U35" s="420"/>
    </row>
    <row r="36" spans="1:21" x14ac:dyDescent="0.3">
      <c r="A36" s="386" t="s">
        <v>334</v>
      </c>
      <c r="B36" s="415" t="str">
        <f>B16</f>
        <v>6"</v>
      </c>
      <c r="C36" s="427" t="e">
        <f>D16</f>
        <v>#REF!</v>
      </c>
      <c r="D36" s="417" t="e">
        <f>E16</f>
        <v>#REF!</v>
      </c>
      <c r="E36" s="418" t="e">
        <f>L16</f>
        <v>#REF!</v>
      </c>
      <c r="F36" s="418" t="e">
        <f>E36/12</f>
        <v>#REF!</v>
      </c>
      <c r="M36" s="386" t="s">
        <v>334</v>
      </c>
      <c r="N36" s="415" t="str">
        <f>N16</f>
        <v>6"</v>
      </c>
      <c r="O36" s="427" t="e">
        <f>P16</f>
        <v>#REF!</v>
      </c>
      <c r="P36" s="417" t="e">
        <f>Q16</f>
        <v>#REF!</v>
      </c>
      <c r="Q36" s="418" t="e">
        <f>X16</f>
        <v>#REF!</v>
      </c>
      <c r="R36" s="418" t="e">
        <f>Q36/12</f>
        <v>#REF!</v>
      </c>
      <c r="T36" s="420" t="e">
        <f t="shared" si="23"/>
        <v>#REF!</v>
      </c>
      <c r="U36" s="420" t="e">
        <f t="shared" si="24"/>
        <v>#REF!</v>
      </c>
    </row>
    <row r="37" spans="1:21" x14ac:dyDescent="0.3">
      <c r="A37" s="386" t="s">
        <v>334</v>
      </c>
      <c r="B37" s="427" t="str">
        <f>B17</f>
        <v>8"</v>
      </c>
      <c r="C37" s="427" t="e">
        <f t="shared" ref="C37:D40" si="25">D17</f>
        <v>#REF!</v>
      </c>
      <c r="D37" s="417" t="e">
        <f t="shared" si="25"/>
        <v>#REF!</v>
      </c>
      <c r="E37" s="418" t="e">
        <f>L17</f>
        <v>#REF!</v>
      </c>
      <c r="F37" s="418" t="e">
        <f>E37/12</f>
        <v>#REF!</v>
      </c>
      <c r="M37" s="386" t="s">
        <v>334</v>
      </c>
      <c r="N37" s="427" t="str">
        <f>N17</f>
        <v>8"</v>
      </c>
      <c r="O37" s="427" t="e">
        <f t="shared" ref="O37:P40" si="26">P17</f>
        <v>#REF!</v>
      </c>
      <c r="P37" s="417" t="e">
        <f t="shared" si="26"/>
        <v>#REF!</v>
      </c>
      <c r="Q37" s="418" t="e">
        <f>X17</f>
        <v>#REF!</v>
      </c>
      <c r="R37" s="418" t="e">
        <f>Q37/12</f>
        <v>#REF!</v>
      </c>
      <c r="T37" s="420" t="e">
        <f t="shared" si="23"/>
        <v>#REF!</v>
      </c>
      <c r="U37" s="420" t="e">
        <f t="shared" si="24"/>
        <v>#REF!</v>
      </c>
    </row>
    <row r="38" spans="1:21" x14ac:dyDescent="0.3">
      <c r="A38" s="386" t="s">
        <v>334</v>
      </c>
      <c r="B38" s="427" t="str">
        <f>B18</f>
        <v>10"</v>
      </c>
      <c r="C38" s="427" t="e">
        <f t="shared" si="25"/>
        <v>#REF!</v>
      </c>
      <c r="D38" s="417" t="e">
        <f t="shared" si="25"/>
        <v>#REF!</v>
      </c>
      <c r="E38" s="418" t="e">
        <f>L18</f>
        <v>#REF!</v>
      </c>
      <c r="F38" s="418" t="e">
        <f>E38/12</f>
        <v>#REF!</v>
      </c>
      <c r="M38" s="386" t="s">
        <v>334</v>
      </c>
      <c r="N38" s="427" t="str">
        <f>N18</f>
        <v>10"</v>
      </c>
      <c r="O38" s="427" t="e">
        <f t="shared" si="26"/>
        <v>#REF!</v>
      </c>
      <c r="P38" s="417" t="e">
        <f t="shared" si="26"/>
        <v>#REF!</v>
      </c>
      <c r="Q38" s="418" t="e">
        <f>X18</f>
        <v>#REF!</v>
      </c>
      <c r="R38" s="418" t="e">
        <f>Q38/12</f>
        <v>#REF!</v>
      </c>
      <c r="T38" s="420" t="e">
        <f t="shared" si="23"/>
        <v>#REF!</v>
      </c>
      <c r="U38" s="420" t="e">
        <f t="shared" si="24"/>
        <v>#REF!</v>
      </c>
    </row>
    <row r="39" spans="1:21" x14ac:dyDescent="0.3">
      <c r="A39" s="386" t="s">
        <v>334</v>
      </c>
      <c r="B39" s="427" t="str">
        <f>B19</f>
        <v>12"</v>
      </c>
      <c r="C39" s="427" t="e">
        <f t="shared" si="25"/>
        <v>#REF!</v>
      </c>
      <c r="D39" s="417" t="e">
        <f t="shared" si="25"/>
        <v>#REF!</v>
      </c>
      <c r="E39" s="418" t="e">
        <f>L19</f>
        <v>#REF!</v>
      </c>
      <c r="F39" s="418" t="e">
        <f>E39/12</f>
        <v>#REF!</v>
      </c>
      <c r="M39" s="386" t="s">
        <v>334</v>
      </c>
      <c r="N39" s="427" t="str">
        <f>N19</f>
        <v>12"</v>
      </c>
      <c r="O39" s="427" t="e">
        <f t="shared" si="26"/>
        <v>#REF!</v>
      </c>
      <c r="P39" s="417" t="e">
        <f t="shared" si="26"/>
        <v>#REF!</v>
      </c>
      <c r="Q39" s="418" t="e">
        <f>X19</f>
        <v>#REF!</v>
      </c>
      <c r="R39" s="418" t="e">
        <f>Q39/12</f>
        <v>#REF!</v>
      </c>
      <c r="T39" s="420" t="e">
        <f t="shared" si="23"/>
        <v>#REF!</v>
      </c>
      <c r="U39" s="420" t="e">
        <f t="shared" si="24"/>
        <v>#REF!</v>
      </c>
    </row>
    <row r="40" spans="1:21" x14ac:dyDescent="0.3">
      <c r="A40" s="386" t="s">
        <v>334</v>
      </c>
      <c r="B40" s="427" t="str">
        <f>B20</f>
        <v>18"</v>
      </c>
      <c r="C40" s="427" t="e">
        <f t="shared" si="25"/>
        <v>#REF!</v>
      </c>
      <c r="D40" s="417" t="e">
        <f t="shared" si="25"/>
        <v>#REF!</v>
      </c>
      <c r="E40" s="418" t="e">
        <f>L20</f>
        <v>#REF!</v>
      </c>
      <c r="F40" s="418" t="e">
        <f>E40/12</f>
        <v>#REF!</v>
      </c>
      <c r="M40" s="386" t="s">
        <v>334</v>
      </c>
      <c r="N40" s="427" t="str">
        <f>N20</f>
        <v>18"</v>
      </c>
      <c r="O40" s="427" t="e">
        <f t="shared" si="26"/>
        <v>#REF!</v>
      </c>
      <c r="P40" s="417" t="e">
        <f t="shared" si="26"/>
        <v>#REF!</v>
      </c>
      <c r="Q40" s="418" t="e">
        <f>X20</f>
        <v>#REF!</v>
      </c>
      <c r="R40" s="418" t="e">
        <f>Q40/12</f>
        <v>#REF!</v>
      </c>
      <c r="T40" s="420" t="e">
        <f t="shared" si="23"/>
        <v>#REF!</v>
      </c>
      <c r="U40" s="420" t="e">
        <f t="shared" si="24"/>
        <v>#REF!</v>
      </c>
    </row>
    <row r="41" spans="1:21" x14ac:dyDescent="0.3">
      <c r="B41" s="422" t="s">
        <v>710</v>
      </c>
      <c r="C41" s="423" t="e">
        <f>SUM(C35:C40)</f>
        <v>#REF!</v>
      </c>
      <c r="D41" s="428"/>
      <c r="E41" s="425" t="e">
        <f>SUM(E33:E40)</f>
        <v>#REF!</v>
      </c>
      <c r="F41" s="425" t="e">
        <f>SUM(F33:F40)</f>
        <v>#REF!</v>
      </c>
      <c r="M41" s="386"/>
      <c r="N41" s="386"/>
      <c r="O41" s="429"/>
      <c r="P41" s="389"/>
      <c r="Q41" s="425" t="e">
        <f>SUM(Q36:Q40)</f>
        <v>#REF!</v>
      </c>
      <c r="R41" s="425" t="e">
        <f>SUM(R36:R40)</f>
        <v>#REF!</v>
      </c>
      <c r="T41" s="426" t="e">
        <f>SUM(T36:T40)</f>
        <v>#REF!</v>
      </c>
    </row>
    <row r="42" spans="1:21" x14ac:dyDescent="0.3">
      <c r="T42" s="426"/>
    </row>
    <row r="43" spans="1:21" x14ac:dyDescent="0.3">
      <c r="T43" s="430" t="e">
        <f>T34+T41</f>
        <v>#REF!</v>
      </c>
    </row>
  </sheetData>
  <mergeCells count="10">
    <mergeCell ref="B23:F23"/>
    <mergeCell ref="N23:R23"/>
    <mergeCell ref="B34:F34"/>
    <mergeCell ref="N34:R34"/>
    <mergeCell ref="B1:L1"/>
    <mergeCell ref="N1:X1"/>
    <mergeCell ref="B3:L3"/>
    <mergeCell ref="N3:X3"/>
    <mergeCell ref="B14:L14"/>
    <mergeCell ref="N14:X14"/>
  </mergeCells>
  <pageMargins left="0.511811024" right="0.511811024" top="0.78740157499999996" bottom="0.78740157499999996" header="0.31496062000000002" footer="0.31496062000000002"/>
  <pageSetup paperSize="9" orientation="portrait" r:id="rId1"/>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22"/>
  <dimension ref="A3:S24"/>
  <sheetViews>
    <sheetView showGridLines="0" topLeftCell="A13" zoomScale="80" zoomScaleNormal="80" workbookViewId="0">
      <selection activeCell="J27" sqref="J27"/>
    </sheetView>
  </sheetViews>
  <sheetFormatPr defaultColWidth="9.109375" defaultRowHeight="14.4" x14ac:dyDescent="0.3"/>
  <cols>
    <col min="1" max="1" width="18.88671875" style="378" bestFit="1" customWidth="1"/>
    <col min="2" max="2" width="16.33203125" style="378" bestFit="1" customWidth="1"/>
    <col min="3" max="3" width="20" style="378" bestFit="1" customWidth="1"/>
    <col min="4" max="4" width="12.33203125" style="378" bestFit="1" customWidth="1"/>
    <col min="5" max="5" width="16.33203125" style="378" bestFit="1" customWidth="1"/>
    <col min="6" max="6" width="20" style="378" bestFit="1" customWidth="1"/>
    <col min="7" max="7" width="12.33203125" style="378" bestFit="1" customWidth="1"/>
    <col min="8" max="8" width="16.33203125" style="378" bestFit="1" customWidth="1"/>
    <col min="9" max="9" width="20" style="378" bestFit="1" customWidth="1"/>
    <col min="10" max="10" width="12.33203125" style="378" bestFit="1" customWidth="1"/>
    <col min="11" max="11" width="16.33203125" style="378" bestFit="1" customWidth="1"/>
    <col min="12" max="12" width="20" style="378" bestFit="1" customWidth="1"/>
    <col min="13" max="13" width="12.33203125" style="378" bestFit="1" customWidth="1"/>
    <col min="14" max="14" width="16.33203125" style="378" bestFit="1" customWidth="1"/>
    <col min="15" max="15" width="20" style="378" bestFit="1" customWidth="1"/>
    <col min="16" max="16" width="12.33203125" style="378" bestFit="1" customWidth="1"/>
    <col min="17" max="17" width="16.33203125" style="378" bestFit="1" customWidth="1"/>
    <col min="18" max="18" width="20" style="378" bestFit="1" customWidth="1"/>
    <col min="19" max="19" width="12.33203125" style="378" bestFit="1" customWidth="1"/>
    <col min="20" max="16384" width="9.109375" style="378"/>
  </cols>
  <sheetData>
    <row r="3" spans="1:19" ht="14.4" customHeight="1" x14ac:dyDescent="0.3">
      <c r="A3" s="1082" t="s">
        <v>713</v>
      </c>
      <c r="B3" s="1083"/>
      <c r="C3" s="1083"/>
      <c r="D3" s="1083"/>
      <c r="E3" s="1083"/>
      <c r="F3" s="1083"/>
      <c r="G3" s="1083"/>
      <c r="H3" s="1083"/>
      <c r="I3" s="1083"/>
      <c r="J3" s="1083"/>
      <c r="K3" s="1083"/>
      <c r="L3" s="1083"/>
      <c r="M3" s="1083"/>
      <c r="N3" s="1083"/>
      <c r="O3" s="1083"/>
      <c r="P3" s="1083"/>
      <c r="Q3" s="1083"/>
      <c r="R3" s="1083"/>
      <c r="S3" s="1083"/>
    </row>
    <row r="4" spans="1:19" ht="15" thickBot="1" x14ac:dyDescent="0.35">
      <c r="A4" s="1084"/>
      <c r="B4" s="1085"/>
      <c r="C4" s="1085"/>
      <c r="D4" s="1085"/>
      <c r="E4" s="1085"/>
      <c r="F4" s="1085"/>
      <c r="G4" s="1085"/>
      <c r="H4" s="1085"/>
      <c r="I4" s="1085"/>
      <c r="J4" s="1085"/>
      <c r="K4" s="1085"/>
      <c r="L4" s="1085"/>
      <c r="M4" s="1085"/>
      <c r="N4" s="1085"/>
      <c r="O4" s="1085"/>
      <c r="P4" s="1085"/>
      <c r="Q4" s="1085"/>
      <c r="R4" s="1085"/>
      <c r="S4" s="1085"/>
    </row>
    <row r="5" spans="1:19" ht="15" thickBot="1" x14ac:dyDescent="0.35">
      <c r="A5" s="444" t="s">
        <v>714</v>
      </c>
      <c r="B5" s="1086" t="s">
        <v>715</v>
      </c>
      <c r="C5" s="1087"/>
      <c r="D5" s="1088"/>
      <c r="E5" s="1086" t="s">
        <v>716</v>
      </c>
      <c r="F5" s="1087"/>
      <c r="G5" s="1088"/>
      <c r="H5" s="1086" t="s">
        <v>717</v>
      </c>
      <c r="I5" s="1087"/>
      <c r="J5" s="1088"/>
      <c r="K5" s="1086" t="s">
        <v>718</v>
      </c>
      <c r="L5" s="1087"/>
      <c r="M5" s="1088"/>
      <c r="N5" s="1086" t="s">
        <v>719</v>
      </c>
      <c r="O5" s="1087"/>
      <c r="P5" s="1088"/>
      <c r="Q5" s="1086" t="s">
        <v>720</v>
      </c>
      <c r="R5" s="1087"/>
      <c r="S5" s="1088"/>
    </row>
    <row r="6" spans="1:19" ht="33.450000000000003" customHeight="1" thickBot="1" x14ac:dyDescent="0.35">
      <c r="A6" s="445"/>
      <c r="B6" s="446" t="s">
        <v>721</v>
      </c>
      <c r="C6" s="446" t="s">
        <v>722</v>
      </c>
      <c r="D6" s="446" t="s">
        <v>723</v>
      </c>
      <c r="E6" s="446" t="s">
        <v>721</v>
      </c>
      <c r="F6" s="446" t="s">
        <v>722</v>
      </c>
      <c r="G6" s="446" t="s">
        <v>723</v>
      </c>
      <c r="H6" s="446" t="s">
        <v>721</v>
      </c>
      <c r="I6" s="446" t="s">
        <v>722</v>
      </c>
      <c r="J6" s="446" t="s">
        <v>723</v>
      </c>
      <c r="K6" s="446" t="s">
        <v>721</v>
      </c>
      <c r="L6" s="446" t="s">
        <v>722</v>
      </c>
      <c r="M6" s="446" t="s">
        <v>723</v>
      </c>
      <c r="N6" s="446" t="s">
        <v>721</v>
      </c>
      <c r="O6" s="446" t="s">
        <v>722</v>
      </c>
      <c r="P6" s="446" t="s">
        <v>723</v>
      </c>
      <c r="Q6" s="446" t="s">
        <v>721</v>
      </c>
      <c r="R6" s="446" t="s">
        <v>722</v>
      </c>
      <c r="S6" s="446" t="s">
        <v>723</v>
      </c>
    </row>
    <row r="7" spans="1:19" ht="18" customHeight="1" thickBot="1" x14ac:dyDescent="0.35">
      <c r="A7" s="447" t="s">
        <v>724</v>
      </c>
      <c r="B7" s="448">
        <v>4044</v>
      </c>
      <c r="C7" s="449">
        <f>B7*0.859</f>
        <v>3473.7959999999998</v>
      </c>
      <c r="D7" s="448">
        <v>219.1</v>
      </c>
      <c r="E7" s="448">
        <v>3962</v>
      </c>
      <c r="F7" s="449">
        <f>E7*0.859</f>
        <v>3403.3579999999997</v>
      </c>
      <c r="G7" s="448">
        <v>219.1</v>
      </c>
      <c r="H7" s="448">
        <v>3913</v>
      </c>
      <c r="I7" s="449">
        <f>H7*0.859</f>
        <v>3361.2669999999998</v>
      </c>
      <c r="J7" s="448">
        <v>219.2</v>
      </c>
      <c r="K7" s="448">
        <v>3898</v>
      </c>
      <c r="L7" s="450">
        <f>K7*0.859</f>
        <v>3348.3820000000001</v>
      </c>
      <c r="M7" s="451">
        <v>219.2</v>
      </c>
      <c r="N7" s="448"/>
      <c r="O7" s="450">
        <v>3342</v>
      </c>
      <c r="P7" s="451">
        <v>219.2</v>
      </c>
      <c r="Q7" s="448"/>
      <c r="R7" s="450">
        <v>3324</v>
      </c>
      <c r="S7" s="451">
        <v>219.2</v>
      </c>
    </row>
    <row r="8" spans="1:19" ht="16.5" customHeight="1" thickBot="1" x14ac:dyDescent="0.35">
      <c r="A8" s="448" t="s">
        <v>725</v>
      </c>
      <c r="B8" s="448">
        <v>80</v>
      </c>
      <c r="C8" s="452">
        <f>B8*0.859</f>
        <v>68.72</v>
      </c>
      <c r="D8" s="448">
        <v>35.9</v>
      </c>
      <c r="E8" s="448">
        <v>93</v>
      </c>
      <c r="F8" s="452">
        <f>E8*0.859</f>
        <v>79.887</v>
      </c>
      <c r="G8" s="448">
        <v>37.200000000000003</v>
      </c>
      <c r="H8" s="448">
        <v>101</v>
      </c>
      <c r="I8" s="452">
        <f>H8*0.859</f>
        <v>86.759</v>
      </c>
      <c r="J8" s="448">
        <v>38.1</v>
      </c>
      <c r="K8" s="448">
        <v>104</v>
      </c>
      <c r="L8" s="453">
        <f>K8*0.859</f>
        <v>89.335999999999999</v>
      </c>
      <c r="M8" s="451">
        <v>38.4</v>
      </c>
      <c r="N8" s="448"/>
      <c r="O8" s="453"/>
      <c r="P8" s="451"/>
      <c r="Q8" s="448"/>
      <c r="R8" s="453"/>
      <c r="S8" s="451"/>
    </row>
    <row r="9" spans="1:19" ht="19.2" customHeight="1" thickBot="1" x14ac:dyDescent="0.35">
      <c r="A9" s="448" t="s">
        <v>726</v>
      </c>
      <c r="B9" s="448">
        <v>89</v>
      </c>
      <c r="C9" s="452">
        <f>B9*0.859</f>
        <v>76.450999999999993</v>
      </c>
      <c r="D9" s="448">
        <v>36.799999999999997</v>
      </c>
      <c r="E9" s="448">
        <v>103</v>
      </c>
      <c r="F9" s="452">
        <f>E9*0.859</f>
        <v>88.477000000000004</v>
      </c>
      <c r="G9" s="448">
        <v>38.200000000000003</v>
      </c>
      <c r="H9" s="448">
        <v>112</v>
      </c>
      <c r="I9" s="452">
        <f>H9*0.859</f>
        <v>96.207999999999998</v>
      </c>
      <c r="J9" s="448">
        <v>39.299999999999997</v>
      </c>
      <c r="K9" s="448">
        <v>115</v>
      </c>
      <c r="L9" s="453">
        <f>K9*0.859</f>
        <v>98.784999999999997</v>
      </c>
      <c r="M9" s="451">
        <v>39.5</v>
      </c>
      <c r="N9" s="448"/>
      <c r="O9" s="453"/>
      <c r="P9" s="451"/>
      <c r="Q9" s="448"/>
      <c r="R9" s="453"/>
      <c r="S9" s="451"/>
    </row>
    <row r="10" spans="1:19" ht="15" thickBot="1" x14ac:dyDescent="0.35">
      <c r="A10" s="447" t="s">
        <v>727</v>
      </c>
      <c r="B10" s="448">
        <v>147</v>
      </c>
      <c r="C10" s="449">
        <f>B10*0.859</f>
        <v>126.273</v>
      </c>
      <c r="D10" s="448">
        <v>42.2</v>
      </c>
      <c r="E10" s="448">
        <v>169</v>
      </c>
      <c r="F10" s="449">
        <f>E10*0.859</f>
        <v>145.17099999999999</v>
      </c>
      <c r="G10" s="448">
        <v>44.3</v>
      </c>
      <c r="H10" s="448">
        <v>186</v>
      </c>
      <c r="I10" s="449">
        <f>H10*0.859</f>
        <v>159.774</v>
      </c>
      <c r="J10" s="448">
        <v>45.7</v>
      </c>
      <c r="K10" s="448">
        <v>188</v>
      </c>
      <c r="L10" s="450">
        <f>K10*0.859</f>
        <v>161.49199999999999</v>
      </c>
      <c r="M10" s="451">
        <v>46.1</v>
      </c>
      <c r="N10" s="448"/>
      <c r="O10" s="450">
        <v>163</v>
      </c>
      <c r="P10" s="451">
        <v>46.3</v>
      </c>
      <c r="Q10" s="448"/>
      <c r="R10" s="450">
        <v>168</v>
      </c>
      <c r="S10" s="451">
        <v>46.9</v>
      </c>
    </row>
    <row r="17" spans="1:19" ht="14.7" customHeight="1" x14ac:dyDescent="0.3">
      <c r="A17" s="1082" t="s">
        <v>728</v>
      </c>
      <c r="B17" s="1083"/>
      <c r="C17" s="1083"/>
      <c r="D17" s="1083"/>
      <c r="E17" s="1083"/>
      <c r="F17" s="1083"/>
      <c r="G17" s="1083"/>
      <c r="H17" s="1083"/>
      <c r="I17" s="1083"/>
      <c r="J17" s="1083"/>
      <c r="K17" s="1083"/>
      <c r="L17" s="1083"/>
      <c r="M17" s="1083"/>
      <c r="N17" s="1083"/>
      <c r="O17" s="1083"/>
      <c r="P17" s="1083"/>
      <c r="Q17" s="454"/>
      <c r="R17" s="454"/>
      <c r="S17" s="454"/>
    </row>
    <row r="18" spans="1:19" ht="15" thickBot="1" x14ac:dyDescent="0.35">
      <c r="A18" s="1084"/>
      <c r="B18" s="1085"/>
      <c r="C18" s="1085"/>
      <c r="D18" s="1085"/>
      <c r="E18" s="1085"/>
      <c r="F18" s="1085"/>
      <c r="G18" s="1085"/>
      <c r="H18" s="1085"/>
      <c r="I18" s="1085"/>
      <c r="J18" s="1085"/>
      <c r="K18" s="1085"/>
      <c r="L18" s="1085"/>
      <c r="M18" s="1085"/>
      <c r="N18" s="1085"/>
      <c r="O18" s="1085"/>
      <c r="P18" s="1085"/>
      <c r="Q18" s="454"/>
      <c r="R18" s="454"/>
      <c r="S18" s="454"/>
    </row>
    <row r="19" spans="1:19" ht="15" thickBot="1" x14ac:dyDescent="0.35">
      <c r="A19" s="444" t="s">
        <v>714</v>
      </c>
      <c r="B19" s="1086" t="s">
        <v>729</v>
      </c>
      <c r="C19" s="1087"/>
      <c r="D19" s="1088"/>
      <c r="E19" s="1086" t="s">
        <v>717</v>
      </c>
      <c r="F19" s="1087"/>
      <c r="G19" s="1088"/>
      <c r="H19" s="1086" t="s">
        <v>718</v>
      </c>
      <c r="I19" s="1087"/>
      <c r="J19" s="1088"/>
      <c r="K19" s="1086" t="s">
        <v>442</v>
      </c>
      <c r="L19" s="1087"/>
      <c r="M19" s="1088"/>
      <c r="N19" s="1086" t="s">
        <v>441</v>
      </c>
      <c r="O19" s="1087"/>
      <c r="P19" s="1088"/>
      <c r="Q19" s="454"/>
      <c r="R19" s="454"/>
      <c r="S19" s="454"/>
    </row>
    <row r="20" spans="1:19" ht="31.2" customHeight="1" thickBot="1" x14ac:dyDescent="0.35">
      <c r="A20" s="445"/>
      <c r="B20" s="446" t="s">
        <v>721</v>
      </c>
      <c r="C20" s="446" t="s">
        <v>722</v>
      </c>
      <c r="D20" s="446" t="s">
        <v>723</v>
      </c>
      <c r="E20" s="446" t="s">
        <v>721</v>
      </c>
      <c r="F20" s="446" t="s">
        <v>722</v>
      </c>
      <c r="G20" s="446" t="s">
        <v>723</v>
      </c>
      <c r="H20" s="446" t="s">
        <v>721</v>
      </c>
      <c r="I20" s="446" t="s">
        <v>722</v>
      </c>
      <c r="J20" s="446" t="s">
        <v>723</v>
      </c>
      <c r="K20" s="446" t="s">
        <v>721</v>
      </c>
      <c r="L20" s="446" t="s">
        <v>722</v>
      </c>
      <c r="M20" s="446" t="s">
        <v>723</v>
      </c>
      <c r="N20" s="446" t="s">
        <v>721</v>
      </c>
      <c r="O20" s="446" t="s">
        <v>722</v>
      </c>
      <c r="P20" s="446" t="s">
        <v>723</v>
      </c>
      <c r="Q20" s="455"/>
      <c r="R20" s="455"/>
      <c r="S20" s="455"/>
    </row>
    <row r="21" spans="1:19" ht="19.2" customHeight="1" thickBot="1" x14ac:dyDescent="0.35">
      <c r="A21" s="447" t="s">
        <v>724</v>
      </c>
      <c r="B21" s="448">
        <v>12409</v>
      </c>
      <c r="C21" s="449">
        <f>B21*0.859</f>
        <v>10659.331</v>
      </c>
      <c r="D21" s="456">
        <v>397</v>
      </c>
      <c r="E21" s="448">
        <v>12668</v>
      </c>
      <c r="F21" s="449">
        <f>E21*0.859</f>
        <v>10881.812</v>
      </c>
      <c r="G21" s="448">
        <v>396.8</v>
      </c>
      <c r="H21" s="448">
        <v>12636</v>
      </c>
      <c r="I21" s="449">
        <f>H21*0.859</f>
        <v>10854.324000000001</v>
      </c>
      <c r="J21" s="448">
        <v>396.8</v>
      </c>
      <c r="K21" s="448"/>
      <c r="L21" s="447">
        <v>10841</v>
      </c>
      <c r="M21" s="448">
        <v>396.9</v>
      </c>
      <c r="N21" s="448"/>
      <c r="O21" s="447">
        <v>10805</v>
      </c>
      <c r="P21" s="448">
        <v>396.9</v>
      </c>
      <c r="Q21" s="394"/>
      <c r="R21" s="457"/>
      <c r="S21" s="394"/>
    </row>
    <row r="22" spans="1:19" ht="21" customHeight="1" thickBot="1" x14ac:dyDescent="0.35">
      <c r="A22" s="448" t="s">
        <v>725</v>
      </c>
      <c r="B22" s="448">
        <v>179</v>
      </c>
      <c r="C22" s="452">
        <f>B22*0.859</f>
        <v>153.761</v>
      </c>
      <c r="D22" s="456">
        <v>45.3</v>
      </c>
      <c r="E22" s="448">
        <v>187</v>
      </c>
      <c r="F22" s="452">
        <f>E22*0.859</f>
        <v>160.63300000000001</v>
      </c>
      <c r="G22" s="456">
        <v>46</v>
      </c>
      <c r="H22" s="448">
        <v>193</v>
      </c>
      <c r="I22" s="452">
        <f>H22*0.859</f>
        <v>165.78700000000001</v>
      </c>
      <c r="J22" s="448">
        <v>46.6</v>
      </c>
      <c r="K22" s="448"/>
      <c r="L22" s="448"/>
      <c r="M22" s="448"/>
      <c r="N22" s="448"/>
      <c r="O22" s="448"/>
      <c r="P22" s="448"/>
      <c r="Q22" s="394"/>
      <c r="R22" s="457"/>
      <c r="S22" s="394"/>
    </row>
    <row r="23" spans="1:19" ht="20.7" customHeight="1" thickBot="1" x14ac:dyDescent="0.35">
      <c r="A23" s="448" t="s">
        <v>730</v>
      </c>
      <c r="B23" s="448">
        <v>188</v>
      </c>
      <c r="C23" s="452">
        <f>B23*0.859</f>
        <v>161.49199999999999</v>
      </c>
      <c r="D23" s="448">
        <v>46.1</v>
      </c>
      <c r="E23" s="448">
        <v>196</v>
      </c>
      <c r="F23" s="452">
        <f>E23*0.859</f>
        <v>168.364</v>
      </c>
      <c r="G23" s="448">
        <v>46.9</v>
      </c>
      <c r="H23" s="448">
        <v>202</v>
      </c>
      <c r="I23" s="452">
        <f>H23*0.859</f>
        <v>173.518</v>
      </c>
      <c r="J23" s="448">
        <v>47.4</v>
      </c>
      <c r="K23" s="448"/>
      <c r="L23" s="448"/>
      <c r="M23" s="448"/>
      <c r="N23" s="448"/>
      <c r="O23" s="448"/>
      <c r="P23" s="448"/>
      <c r="Q23" s="394"/>
      <c r="R23" s="457"/>
      <c r="S23" s="394"/>
    </row>
    <row r="24" spans="1:19" ht="15" thickBot="1" x14ac:dyDescent="0.35">
      <c r="A24" s="447" t="s">
        <v>727</v>
      </c>
      <c r="B24" s="448">
        <v>257</v>
      </c>
      <c r="C24" s="449">
        <f>B24*0.859</f>
        <v>220.76300000000001</v>
      </c>
      <c r="D24" s="448">
        <v>51.8</v>
      </c>
      <c r="E24" s="448">
        <v>268</v>
      </c>
      <c r="F24" s="449">
        <f>E24*0.859</f>
        <v>230.21199999999999</v>
      </c>
      <c r="G24" s="448">
        <v>52.8</v>
      </c>
      <c r="H24" s="448">
        <v>276</v>
      </c>
      <c r="I24" s="449">
        <f>H24*0.859</f>
        <v>237.084</v>
      </c>
      <c r="J24" s="448">
        <v>53.5</v>
      </c>
      <c r="K24" s="448"/>
      <c r="L24" s="447">
        <v>241</v>
      </c>
      <c r="M24" s="448">
        <v>53.8</v>
      </c>
      <c r="N24" s="448"/>
      <c r="O24" s="447">
        <v>249</v>
      </c>
      <c r="P24" s="448">
        <v>54.8</v>
      </c>
      <c r="Q24" s="394"/>
      <c r="R24" s="457"/>
      <c r="S24" s="394"/>
    </row>
  </sheetData>
  <mergeCells count="13">
    <mergeCell ref="A3:S4"/>
    <mergeCell ref="B5:D5"/>
    <mergeCell ref="E5:G5"/>
    <mergeCell ref="H5:J5"/>
    <mergeCell ref="K5:M5"/>
    <mergeCell ref="N5:P5"/>
    <mergeCell ref="Q5:S5"/>
    <mergeCell ref="A17:P18"/>
    <mergeCell ref="B19:D19"/>
    <mergeCell ref="E19:G19"/>
    <mergeCell ref="H19:J19"/>
    <mergeCell ref="K19:M19"/>
    <mergeCell ref="N19:P19"/>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A2:B32"/>
  <sheetViews>
    <sheetView topLeftCell="A10" workbookViewId="0">
      <selection activeCell="B24" sqref="B24"/>
    </sheetView>
  </sheetViews>
  <sheetFormatPr defaultRowHeight="13.2" x14ac:dyDescent="0.25"/>
  <cols>
    <col min="1" max="1" width="39" customWidth="1"/>
    <col min="2" max="2" width="48.44140625" bestFit="1" customWidth="1"/>
  </cols>
  <sheetData>
    <row r="2" spans="1:2" ht="15.6" x14ac:dyDescent="0.25">
      <c r="A2" s="529" t="s">
        <v>505</v>
      </c>
      <c r="B2" s="530"/>
    </row>
    <row r="3" spans="1:2" ht="15" x14ac:dyDescent="0.25">
      <c r="A3" s="531"/>
      <c r="B3" s="532"/>
    </row>
    <row r="4" spans="1:2" ht="15.6" x14ac:dyDescent="0.25">
      <c r="A4" s="533" t="s">
        <v>844</v>
      </c>
      <c r="B4" s="534"/>
    </row>
    <row r="5" spans="1:2" ht="15" x14ac:dyDescent="0.25">
      <c r="A5" s="535"/>
      <c r="B5" s="532"/>
    </row>
    <row r="6" spans="1:2" ht="15.6" x14ac:dyDescent="0.25">
      <c r="A6" s="533" t="s">
        <v>845</v>
      </c>
      <c r="B6" s="536"/>
    </row>
    <row r="7" spans="1:2" ht="15" x14ac:dyDescent="0.25">
      <c r="A7" s="537"/>
      <c r="B7" s="532"/>
    </row>
    <row r="8" spans="1:2" ht="15.6" x14ac:dyDescent="0.25">
      <c r="A8" s="533" t="s">
        <v>846</v>
      </c>
      <c r="B8" s="538"/>
    </row>
    <row r="9" spans="1:2" ht="15" x14ac:dyDescent="0.25">
      <c r="A9" s="537"/>
      <c r="B9" s="532"/>
    </row>
    <row r="10" spans="1:2" ht="15.6" x14ac:dyDescent="0.25">
      <c r="A10" s="533" t="s">
        <v>857</v>
      </c>
      <c r="B10" s="534"/>
    </row>
    <row r="11" spans="1:2" ht="15" x14ac:dyDescent="0.25">
      <c r="A11" s="535"/>
      <c r="B11" s="532"/>
    </row>
    <row r="12" spans="1:2" ht="15.6" x14ac:dyDescent="0.25">
      <c r="A12" s="533" t="s">
        <v>847</v>
      </c>
      <c r="B12" s="540" t="s">
        <v>931</v>
      </c>
    </row>
    <row r="13" spans="1:2" ht="15" x14ac:dyDescent="0.25">
      <c r="A13" s="535"/>
      <c r="B13" s="532"/>
    </row>
    <row r="14" spans="1:2" ht="15.6" x14ac:dyDescent="0.25">
      <c r="A14" s="533" t="s">
        <v>326</v>
      </c>
      <c r="B14" s="534" t="s">
        <v>932</v>
      </c>
    </row>
    <row r="15" spans="1:2" ht="15" x14ac:dyDescent="0.25">
      <c r="A15" s="535"/>
      <c r="B15" s="532"/>
    </row>
    <row r="16" spans="1:2" ht="15.6" x14ac:dyDescent="0.25">
      <c r="A16" s="533" t="s">
        <v>47</v>
      </c>
      <c r="B16" s="534"/>
    </row>
    <row r="17" spans="1:2" ht="15" x14ac:dyDescent="0.25">
      <c r="A17" s="535"/>
      <c r="B17" s="532"/>
    </row>
    <row r="18" spans="1:2" ht="15.6" x14ac:dyDescent="0.25">
      <c r="A18" s="533" t="s">
        <v>848</v>
      </c>
      <c r="B18" s="540"/>
    </row>
    <row r="19" spans="1:2" ht="15" x14ac:dyDescent="0.25">
      <c r="A19" s="535"/>
      <c r="B19" s="532"/>
    </row>
    <row r="20" spans="1:2" ht="15.6" x14ac:dyDescent="0.25">
      <c r="A20" s="533" t="s">
        <v>849</v>
      </c>
      <c r="B20" s="534" t="s">
        <v>850</v>
      </c>
    </row>
    <row r="21" spans="1:2" ht="15" x14ac:dyDescent="0.25">
      <c r="A21" s="535"/>
      <c r="B21" s="532"/>
    </row>
    <row r="22" spans="1:2" ht="15.6" x14ac:dyDescent="0.25">
      <c r="A22" s="556" t="s">
        <v>859</v>
      </c>
      <c r="B22" s="534" t="s">
        <v>851</v>
      </c>
    </row>
    <row r="23" spans="1:2" ht="15" x14ac:dyDescent="0.25">
      <c r="A23" s="535"/>
      <c r="B23" s="532"/>
    </row>
    <row r="24" spans="1:2" ht="15.6" x14ac:dyDescent="0.25">
      <c r="A24" s="533" t="s">
        <v>856</v>
      </c>
      <c r="B24" s="534" t="s">
        <v>863</v>
      </c>
    </row>
    <row r="25" spans="1:2" ht="15" x14ac:dyDescent="0.25">
      <c r="A25" s="535"/>
      <c r="B25" s="532"/>
    </row>
    <row r="26" spans="1:2" ht="15.6" x14ac:dyDescent="0.25">
      <c r="A26" s="533" t="s">
        <v>852</v>
      </c>
      <c r="B26" s="541">
        <v>45628</v>
      </c>
    </row>
    <row r="27" spans="1:2" ht="15" x14ac:dyDescent="0.25">
      <c r="A27" s="535"/>
      <c r="B27" s="542"/>
    </row>
    <row r="28" spans="1:2" ht="15.6" x14ac:dyDescent="0.25">
      <c r="A28" s="533" t="s">
        <v>853</v>
      </c>
      <c r="B28" s="540"/>
    </row>
    <row r="29" spans="1:2" ht="15" x14ac:dyDescent="0.25">
      <c r="A29" s="535"/>
      <c r="B29" s="539"/>
    </row>
    <row r="30" spans="1:2" ht="15.6" x14ac:dyDescent="0.25">
      <c r="A30" s="533" t="s">
        <v>854</v>
      </c>
      <c r="B30" s="543"/>
    </row>
    <row r="31" spans="1:2" ht="15.6" x14ac:dyDescent="0.25">
      <c r="A31" s="544"/>
      <c r="B31" s="543"/>
    </row>
    <row r="32" spans="1:2" ht="15.6" x14ac:dyDescent="0.3">
      <c r="A32" s="533" t="s">
        <v>547</v>
      </c>
      <c r="B32" s="550"/>
    </row>
  </sheetData>
  <dataValidations count="2">
    <dataValidation type="list" allowBlank="1" sqref="B24" xr:uid="{00000000-0002-0000-0200-000000000000}">
      <formula1>$B$49:$B$50</formula1>
    </dataValidation>
    <dataValidation allowBlank="1" sqref="B14" xr:uid="{00000000-0002-0000-0200-000001000000}"/>
  </dataValidations>
  <pageMargins left="0.511811024" right="0.511811024" top="0.78740157499999996" bottom="0.78740157499999996" header="0.31496062000000002" footer="0.3149606200000000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'base dados'!$L$28:$L$29</xm:f>
          </x14:formula1>
          <xm:sqref>B20</xm:sqref>
        </x14:dataValidation>
        <x14:dataValidation type="list" allowBlank="1" xr:uid="{00000000-0002-0000-0200-000003000000}">
          <x14:formula1>
            <xm:f>'base dados'!$M$28:$M$29</xm:f>
          </x14:formula1>
          <xm:sqref>B22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15">
    <tabColor rgb="FF92D050"/>
  </sheetPr>
  <dimension ref="A1:H330"/>
  <sheetViews>
    <sheetView view="pageBreakPreview" topLeftCell="A158" zoomScale="92" zoomScaleNormal="100" zoomScaleSheetLayoutView="100" workbookViewId="0">
      <selection activeCell="J27" sqref="J27"/>
    </sheetView>
  </sheetViews>
  <sheetFormatPr defaultColWidth="8.88671875" defaultRowHeight="13.2" x14ac:dyDescent="0.25"/>
  <cols>
    <col min="1" max="8" width="15.6640625" customWidth="1"/>
  </cols>
  <sheetData>
    <row r="1" spans="1:8" ht="15" customHeight="1" x14ac:dyDescent="0.25">
      <c r="A1" s="889"/>
      <c r="B1" s="890"/>
      <c r="C1" s="893" t="s">
        <v>445</v>
      </c>
      <c r="D1" s="894"/>
      <c r="E1" s="894"/>
      <c r="F1" s="894"/>
      <c r="G1" s="894"/>
      <c r="H1" s="895" t="s">
        <v>444</v>
      </c>
    </row>
    <row r="2" spans="1:8" ht="15" customHeight="1" x14ac:dyDescent="0.25">
      <c r="A2" s="891"/>
      <c r="B2" s="892"/>
      <c r="C2" s="896" t="s">
        <v>458</v>
      </c>
      <c r="D2" s="897"/>
      <c r="E2" s="897"/>
      <c r="F2" s="897"/>
      <c r="G2" s="897"/>
      <c r="H2" s="895"/>
    </row>
    <row r="3" spans="1:8" ht="15" customHeight="1" x14ac:dyDescent="0.25">
      <c r="A3" s="891"/>
      <c r="B3" s="892"/>
      <c r="C3" s="898"/>
      <c r="D3" s="899"/>
      <c r="E3" s="899"/>
      <c r="F3" s="899"/>
      <c r="G3" s="899"/>
      <c r="H3" s="895"/>
    </row>
    <row r="4" spans="1:8" ht="30" customHeight="1" x14ac:dyDescent="0.25">
      <c r="A4" s="869" t="s">
        <v>459</v>
      </c>
      <c r="B4" s="870"/>
      <c r="C4" s="870"/>
      <c r="D4" s="870"/>
      <c r="E4" s="870"/>
      <c r="F4" s="870"/>
      <c r="G4" s="870"/>
      <c r="H4" s="871"/>
    </row>
    <row r="5" spans="1:8" s="114" customFormat="1" ht="20.100000000000001" customHeight="1" x14ac:dyDescent="0.35">
      <c r="A5" s="872" t="s">
        <v>460</v>
      </c>
      <c r="B5" s="873"/>
      <c r="C5" s="873"/>
      <c r="D5" s="874"/>
      <c r="E5" s="875" t="s">
        <v>461</v>
      </c>
      <c r="F5" s="876"/>
      <c r="G5" s="876"/>
      <c r="H5" s="877"/>
    </row>
    <row r="6" spans="1:8" s="114" customFormat="1" ht="15" customHeight="1" x14ac:dyDescent="0.25">
      <c r="A6" s="878"/>
      <c r="B6" s="879"/>
      <c r="C6" s="879"/>
      <c r="D6" s="880"/>
      <c r="E6" s="878"/>
      <c r="F6" s="879"/>
      <c r="G6" s="879"/>
      <c r="H6" s="880"/>
    </row>
    <row r="7" spans="1:8" s="114" customFormat="1" ht="15" customHeight="1" x14ac:dyDescent="0.25">
      <c r="A7" s="881"/>
      <c r="B7" s="868"/>
      <c r="C7" s="868"/>
      <c r="D7" s="882"/>
      <c r="E7" s="881"/>
      <c r="F7" s="868"/>
      <c r="G7" s="868"/>
      <c r="H7" s="882"/>
    </row>
    <row r="8" spans="1:8" s="114" customFormat="1" ht="15" customHeight="1" x14ac:dyDescent="0.25">
      <c r="A8" s="881"/>
      <c r="B8" s="868"/>
      <c r="C8" s="868"/>
      <c r="D8" s="882"/>
      <c r="E8" s="881"/>
      <c r="F8" s="868"/>
      <c r="G8" s="868"/>
      <c r="H8" s="882"/>
    </row>
    <row r="9" spans="1:8" s="114" customFormat="1" ht="15" customHeight="1" x14ac:dyDescent="0.25">
      <c r="A9" s="881"/>
      <c r="B9" s="868"/>
      <c r="C9" s="868"/>
      <c r="D9" s="882"/>
      <c r="E9" s="881"/>
      <c r="F9" s="868"/>
      <c r="G9" s="868"/>
      <c r="H9" s="882"/>
    </row>
    <row r="10" spans="1:8" s="114" customFormat="1" ht="15" customHeight="1" x14ac:dyDescent="0.25">
      <c r="A10" s="881"/>
      <c r="B10" s="868"/>
      <c r="C10" s="868"/>
      <c r="D10" s="882"/>
      <c r="E10" s="881"/>
      <c r="F10" s="868"/>
      <c r="G10" s="868"/>
      <c r="H10" s="882"/>
    </row>
    <row r="11" spans="1:8" s="114" customFormat="1" ht="15" customHeight="1" x14ac:dyDescent="0.25">
      <c r="A11" s="881"/>
      <c r="B11" s="868"/>
      <c r="C11" s="868"/>
      <c r="D11" s="882"/>
      <c r="E11" s="881"/>
      <c r="F11" s="868"/>
      <c r="G11" s="868"/>
      <c r="H11" s="882"/>
    </row>
    <row r="12" spans="1:8" s="114" customFormat="1" ht="15" customHeight="1" x14ac:dyDescent="0.25">
      <c r="A12" s="881"/>
      <c r="B12" s="868"/>
      <c r="C12" s="868"/>
      <c r="D12" s="882"/>
      <c r="E12" s="881"/>
      <c r="F12" s="868"/>
      <c r="G12" s="868"/>
      <c r="H12" s="882"/>
    </row>
    <row r="13" spans="1:8" s="114" customFormat="1" ht="15" customHeight="1" x14ac:dyDescent="0.25">
      <c r="A13" s="881"/>
      <c r="B13" s="868"/>
      <c r="C13" s="868"/>
      <c r="D13" s="882"/>
      <c r="E13" s="881"/>
      <c r="F13" s="868"/>
      <c r="G13" s="868"/>
      <c r="H13" s="882"/>
    </row>
    <row r="14" spans="1:8" s="114" customFormat="1" ht="15" customHeight="1" x14ac:dyDescent="0.25">
      <c r="A14" s="881"/>
      <c r="B14" s="868"/>
      <c r="C14" s="868"/>
      <c r="D14" s="882"/>
      <c r="E14" s="881"/>
      <c r="F14" s="868"/>
      <c r="G14" s="868"/>
      <c r="H14" s="882"/>
    </row>
    <row r="15" spans="1:8" s="114" customFormat="1" ht="15" customHeight="1" x14ac:dyDescent="0.25">
      <c r="A15" s="881"/>
      <c r="B15" s="868"/>
      <c r="C15" s="868"/>
      <c r="D15" s="882"/>
      <c r="E15" s="881"/>
      <c r="F15" s="868"/>
      <c r="G15" s="868"/>
      <c r="H15" s="882"/>
    </row>
    <row r="16" spans="1:8" s="114" customFormat="1" ht="15" customHeight="1" x14ac:dyDescent="0.25">
      <c r="A16" s="881"/>
      <c r="B16" s="868"/>
      <c r="C16" s="868"/>
      <c r="D16" s="882"/>
      <c r="E16" s="881"/>
      <c r="F16" s="868"/>
      <c r="G16" s="868"/>
      <c r="H16" s="882"/>
    </row>
    <row r="17" spans="1:8" s="114" customFormat="1" ht="15" customHeight="1" x14ac:dyDescent="0.25">
      <c r="A17" s="881"/>
      <c r="B17" s="868"/>
      <c r="C17" s="868"/>
      <c r="D17" s="882"/>
      <c r="E17" s="881"/>
      <c r="F17" s="868"/>
      <c r="G17" s="868"/>
      <c r="H17" s="882"/>
    </row>
    <row r="18" spans="1:8" s="114" customFormat="1" ht="15" customHeight="1" x14ac:dyDescent="0.25">
      <c r="A18" s="881"/>
      <c r="B18" s="868"/>
      <c r="C18" s="868"/>
      <c r="D18" s="882"/>
      <c r="E18" s="881"/>
      <c r="F18" s="868"/>
      <c r="G18" s="868"/>
      <c r="H18" s="882"/>
    </row>
    <row r="19" spans="1:8" s="114" customFormat="1" ht="15" customHeight="1" x14ac:dyDescent="0.25">
      <c r="A19" s="881"/>
      <c r="B19" s="868"/>
      <c r="C19" s="868"/>
      <c r="D19" s="882"/>
      <c r="E19" s="881"/>
      <c r="F19" s="868"/>
      <c r="G19" s="868"/>
      <c r="H19" s="882"/>
    </row>
    <row r="20" spans="1:8" s="114" customFormat="1" ht="15" customHeight="1" x14ac:dyDescent="0.25">
      <c r="A20" s="881"/>
      <c r="B20" s="868"/>
      <c r="C20" s="868"/>
      <c r="D20" s="882"/>
      <c r="E20" s="881"/>
      <c r="F20" s="868"/>
      <c r="G20" s="868"/>
      <c r="H20" s="882"/>
    </row>
    <row r="21" spans="1:8" s="114" customFormat="1" ht="15" customHeight="1" x14ac:dyDescent="0.25">
      <c r="A21" s="883"/>
      <c r="B21" s="884"/>
      <c r="C21" s="884"/>
      <c r="D21" s="885"/>
      <c r="E21" s="883"/>
      <c r="F21" s="884"/>
      <c r="G21" s="884"/>
      <c r="H21" s="885"/>
    </row>
    <row r="22" spans="1:8" s="114" customFormat="1" ht="20.100000000000001" customHeight="1" x14ac:dyDescent="0.25">
      <c r="A22" s="886" t="s">
        <v>462</v>
      </c>
      <c r="B22" s="887"/>
      <c r="C22" s="887"/>
      <c r="D22" s="888"/>
      <c r="E22" s="875" t="s">
        <v>463</v>
      </c>
      <c r="F22" s="876"/>
      <c r="G22" s="876"/>
      <c r="H22" s="877"/>
    </row>
    <row r="23" spans="1:8" s="114" customFormat="1" ht="15.9" customHeight="1" x14ac:dyDescent="0.25">
      <c r="A23" s="878"/>
      <c r="B23" s="879"/>
      <c r="C23" s="879"/>
      <c r="D23" s="880"/>
      <c r="E23" s="878"/>
      <c r="F23" s="879"/>
      <c r="G23" s="879"/>
      <c r="H23" s="880"/>
    </row>
    <row r="24" spans="1:8" s="114" customFormat="1" ht="15.9" customHeight="1" x14ac:dyDescent="0.25">
      <c r="A24" s="881"/>
      <c r="B24" s="868"/>
      <c r="C24" s="868"/>
      <c r="D24" s="882"/>
      <c r="E24" s="881"/>
      <c r="F24" s="868"/>
      <c r="G24" s="868"/>
      <c r="H24" s="882"/>
    </row>
    <row r="25" spans="1:8" s="114" customFormat="1" ht="15.9" customHeight="1" x14ac:dyDescent="0.25">
      <c r="A25" s="881"/>
      <c r="B25" s="868"/>
      <c r="C25" s="868"/>
      <c r="D25" s="882"/>
      <c r="E25" s="881"/>
      <c r="F25" s="868"/>
      <c r="G25" s="868"/>
      <c r="H25" s="882"/>
    </row>
    <row r="26" spans="1:8" s="114" customFormat="1" ht="15.9" customHeight="1" x14ac:dyDescent="0.25">
      <c r="A26" s="881"/>
      <c r="B26" s="868"/>
      <c r="C26" s="868"/>
      <c r="D26" s="882"/>
      <c r="E26" s="881"/>
      <c r="F26" s="868"/>
      <c r="G26" s="868"/>
      <c r="H26" s="882"/>
    </row>
    <row r="27" spans="1:8" s="114" customFormat="1" ht="15.9" customHeight="1" x14ac:dyDescent="0.25">
      <c r="A27" s="881"/>
      <c r="B27" s="868"/>
      <c r="C27" s="868"/>
      <c r="D27" s="882"/>
      <c r="E27" s="881"/>
      <c r="F27" s="868"/>
      <c r="G27" s="868"/>
      <c r="H27" s="882"/>
    </row>
    <row r="28" spans="1:8" s="114" customFormat="1" ht="15.9" customHeight="1" x14ac:dyDescent="0.25">
      <c r="A28" s="881"/>
      <c r="B28" s="868"/>
      <c r="C28" s="868"/>
      <c r="D28" s="882"/>
      <c r="E28" s="881"/>
      <c r="F28" s="868"/>
      <c r="G28" s="868"/>
      <c r="H28" s="882"/>
    </row>
    <row r="29" spans="1:8" s="114" customFormat="1" ht="15.9" customHeight="1" x14ac:dyDescent="0.25">
      <c r="A29" s="881"/>
      <c r="B29" s="868"/>
      <c r="C29" s="868"/>
      <c r="D29" s="882"/>
      <c r="E29" s="881"/>
      <c r="F29" s="868"/>
      <c r="G29" s="868"/>
      <c r="H29" s="882"/>
    </row>
    <row r="30" spans="1:8" s="114" customFormat="1" ht="15.9" customHeight="1" x14ac:dyDescent="0.25">
      <c r="A30" s="881"/>
      <c r="B30" s="868"/>
      <c r="C30" s="868"/>
      <c r="D30" s="882"/>
      <c r="E30" s="881"/>
      <c r="F30" s="868"/>
      <c r="G30" s="868"/>
      <c r="H30" s="882"/>
    </row>
    <row r="31" spans="1:8" s="114" customFormat="1" ht="15.9" customHeight="1" x14ac:dyDescent="0.25">
      <c r="A31" s="881"/>
      <c r="B31" s="868"/>
      <c r="C31" s="868"/>
      <c r="D31" s="882"/>
      <c r="E31" s="881"/>
      <c r="F31" s="868"/>
      <c r="G31" s="868"/>
      <c r="H31" s="882"/>
    </row>
    <row r="32" spans="1:8" s="114" customFormat="1" ht="15.9" customHeight="1" x14ac:dyDescent="0.25">
      <c r="A32" s="881"/>
      <c r="B32" s="868"/>
      <c r="C32" s="868"/>
      <c r="D32" s="882"/>
      <c r="E32" s="881"/>
      <c r="F32" s="868"/>
      <c r="G32" s="868"/>
      <c r="H32" s="882"/>
    </row>
    <row r="33" spans="1:8" s="114" customFormat="1" ht="15.9" customHeight="1" x14ac:dyDescent="0.25">
      <c r="A33" s="881"/>
      <c r="B33" s="868"/>
      <c r="C33" s="868"/>
      <c r="D33" s="882"/>
      <c r="E33" s="881"/>
      <c r="F33" s="868"/>
      <c r="G33" s="868"/>
      <c r="H33" s="882"/>
    </row>
    <row r="34" spans="1:8" s="114" customFormat="1" ht="15.9" customHeight="1" x14ac:dyDescent="0.25">
      <c r="A34" s="881"/>
      <c r="B34" s="868"/>
      <c r="C34" s="868"/>
      <c r="D34" s="882"/>
      <c r="E34" s="881"/>
      <c r="F34" s="868"/>
      <c r="G34" s="868"/>
      <c r="H34" s="882"/>
    </row>
    <row r="35" spans="1:8" s="114" customFormat="1" ht="15.9" customHeight="1" x14ac:dyDescent="0.25">
      <c r="A35" s="881"/>
      <c r="B35" s="868"/>
      <c r="C35" s="868"/>
      <c r="D35" s="882"/>
      <c r="E35" s="881"/>
      <c r="F35" s="868"/>
      <c r="G35" s="868"/>
      <c r="H35" s="882"/>
    </row>
    <row r="36" spans="1:8" s="114" customFormat="1" ht="15.9" customHeight="1" x14ac:dyDescent="0.25">
      <c r="A36" s="881"/>
      <c r="B36" s="868"/>
      <c r="C36" s="868"/>
      <c r="D36" s="882"/>
      <c r="E36" s="881"/>
      <c r="F36" s="868"/>
      <c r="G36" s="868"/>
      <c r="H36" s="882"/>
    </row>
    <row r="37" spans="1:8" s="114" customFormat="1" ht="15.9" customHeight="1" x14ac:dyDescent="0.25">
      <c r="A37" s="881"/>
      <c r="B37" s="868"/>
      <c r="C37" s="868"/>
      <c r="D37" s="882"/>
      <c r="E37" s="881"/>
      <c r="F37" s="868"/>
      <c r="G37" s="868"/>
      <c r="H37" s="882"/>
    </row>
    <row r="38" spans="1:8" s="114" customFormat="1" ht="15.9" customHeight="1" x14ac:dyDescent="0.25">
      <c r="A38" s="883"/>
      <c r="B38" s="884"/>
      <c r="C38" s="884"/>
      <c r="D38" s="885"/>
      <c r="E38" s="883"/>
      <c r="F38" s="884"/>
      <c r="G38" s="884"/>
      <c r="H38" s="885"/>
    </row>
    <row r="39" spans="1:8" s="114" customFormat="1" ht="20.100000000000001" customHeight="1" x14ac:dyDescent="0.35">
      <c r="A39" s="872" t="s">
        <v>464</v>
      </c>
      <c r="B39" s="873"/>
      <c r="C39" s="873"/>
      <c r="D39" s="873"/>
      <c r="E39" s="875" t="s">
        <v>465</v>
      </c>
      <c r="F39" s="876"/>
      <c r="G39" s="876"/>
      <c r="H39" s="877"/>
    </row>
    <row r="40" spans="1:8" s="114" customFormat="1" ht="15" customHeight="1" x14ac:dyDescent="0.25">
      <c r="A40" s="878" t="s">
        <v>466</v>
      </c>
      <c r="B40" s="879"/>
      <c r="C40" s="879"/>
      <c r="D40" s="880"/>
      <c r="E40" s="878"/>
      <c r="F40" s="879"/>
      <c r="G40" s="879"/>
      <c r="H40" s="880"/>
    </row>
    <row r="41" spans="1:8" s="114" customFormat="1" ht="15" customHeight="1" x14ac:dyDescent="0.25">
      <c r="A41" s="881"/>
      <c r="B41" s="868"/>
      <c r="C41" s="868"/>
      <c r="D41" s="882"/>
      <c r="E41" s="881"/>
      <c r="F41" s="868"/>
      <c r="G41" s="868"/>
      <c r="H41" s="882"/>
    </row>
    <row r="42" spans="1:8" s="114" customFormat="1" ht="15" customHeight="1" x14ac:dyDescent="0.25">
      <c r="A42" s="881"/>
      <c r="B42" s="868"/>
      <c r="C42" s="868"/>
      <c r="D42" s="882"/>
      <c r="E42" s="881"/>
      <c r="F42" s="868"/>
      <c r="G42" s="868"/>
      <c r="H42" s="882"/>
    </row>
    <row r="43" spans="1:8" s="114" customFormat="1" ht="15" customHeight="1" x14ac:dyDescent="0.25">
      <c r="A43" s="881"/>
      <c r="B43" s="868"/>
      <c r="C43" s="868"/>
      <c r="D43" s="882"/>
      <c r="E43" s="881"/>
      <c r="F43" s="868"/>
      <c r="G43" s="868"/>
      <c r="H43" s="882"/>
    </row>
    <row r="44" spans="1:8" s="114" customFormat="1" ht="15" customHeight="1" x14ac:dyDescent="0.25">
      <c r="A44" s="881"/>
      <c r="B44" s="868"/>
      <c r="C44" s="868"/>
      <c r="D44" s="882"/>
      <c r="E44" s="881"/>
      <c r="F44" s="868"/>
      <c r="G44" s="868"/>
      <c r="H44" s="882"/>
    </row>
    <row r="45" spans="1:8" s="114" customFormat="1" ht="15" customHeight="1" x14ac:dyDescent="0.25">
      <c r="A45" s="881"/>
      <c r="B45" s="868"/>
      <c r="C45" s="868"/>
      <c r="D45" s="882"/>
      <c r="E45" s="881"/>
      <c r="F45" s="868"/>
      <c r="G45" s="868"/>
      <c r="H45" s="882"/>
    </row>
    <row r="46" spans="1:8" s="114" customFormat="1" ht="15" customHeight="1" x14ac:dyDescent="0.25">
      <c r="A46" s="881"/>
      <c r="B46" s="868"/>
      <c r="C46" s="868"/>
      <c r="D46" s="882"/>
      <c r="E46" s="881"/>
      <c r="F46" s="868"/>
      <c r="G46" s="868"/>
      <c r="H46" s="882"/>
    </row>
    <row r="47" spans="1:8" s="114" customFormat="1" ht="15" customHeight="1" x14ac:dyDescent="0.25">
      <c r="A47" s="881"/>
      <c r="B47" s="868"/>
      <c r="C47" s="868"/>
      <c r="D47" s="882"/>
      <c r="E47" s="881"/>
      <c r="F47" s="868"/>
      <c r="G47" s="868"/>
      <c r="H47" s="882"/>
    </row>
    <row r="48" spans="1:8" s="114" customFormat="1" ht="15" customHeight="1" x14ac:dyDescent="0.25">
      <c r="A48" s="881"/>
      <c r="B48" s="868"/>
      <c r="C48" s="868"/>
      <c r="D48" s="882"/>
      <c r="E48" s="881"/>
      <c r="F48" s="868"/>
      <c r="G48" s="868"/>
      <c r="H48" s="882"/>
    </row>
    <row r="49" spans="1:8" s="114" customFormat="1" ht="15" customHeight="1" x14ac:dyDescent="0.25">
      <c r="A49" s="881"/>
      <c r="B49" s="868"/>
      <c r="C49" s="868"/>
      <c r="D49" s="882"/>
      <c r="E49" s="881"/>
      <c r="F49" s="868"/>
      <c r="G49" s="868"/>
      <c r="H49" s="882"/>
    </row>
    <row r="50" spans="1:8" s="114" customFormat="1" ht="15" customHeight="1" x14ac:dyDescent="0.25">
      <c r="A50" s="881"/>
      <c r="B50" s="868"/>
      <c r="C50" s="868"/>
      <c r="D50" s="882"/>
      <c r="E50" s="881"/>
      <c r="F50" s="868"/>
      <c r="G50" s="868"/>
      <c r="H50" s="882"/>
    </row>
    <row r="51" spans="1:8" s="114" customFormat="1" ht="15" customHeight="1" x14ac:dyDescent="0.25">
      <c r="A51" s="881"/>
      <c r="B51" s="868"/>
      <c r="C51" s="868"/>
      <c r="D51" s="882"/>
      <c r="E51" s="881"/>
      <c r="F51" s="868"/>
      <c r="G51" s="868"/>
      <c r="H51" s="882"/>
    </row>
    <row r="52" spans="1:8" s="114" customFormat="1" ht="15" customHeight="1" x14ac:dyDescent="0.25">
      <c r="A52" s="881"/>
      <c r="B52" s="868"/>
      <c r="C52" s="868"/>
      <c r="D52" s="882"/>
      <c r="E52" s="881"/>
      <c r="F52" s="868"/>
      <c r="G52" s="868"/>
      <c r="H52" s="882"/>
    </row>
    <row r="53" spans="1:8" s="114" customFormat="1" ht="15" customHeight="1" x14ac:dyDescent="0.25">
      <c r="A53" s="881"/>
      <c r="B53" s="868"/>
      <c r="C53" s="868"/>
      <c r="D53" s="882"/>
      <c r="E53" s="881"/>
      <c r="F53" s="868"/>
      <c r="G53" s="868"/>
      <c r="H53" s="882"/>
    </row>
    <row r="54" spans="1:8" s="114" customFormat="1" ht="15" customHeight="1" x14ac:dyDescent="0.25">
      <c r="A54" s="881"/>
      <c r="B54" s="868"/>
      <c r="C54" s="868"/>
      <c r="D54" s="882"/>
      <c r="E54" s="881"/>
      <c r="F54" s="868"/>
      <c r="G54" s="868"/>
      <c r="H54" s="882"/>
    </row>
    <row r="55" spans="1:8" s="114" customFormat="1" ht="15" customHeight="1" x14ac:dyDescent="0.25">
      <c r="A55" s="883"/>
      <c r="B55" s="884"/>
      <c r="C55" s="884"/>
      <c r="D55" s="885"/>
      <c r="E55" s="883"/>
      <c r="F55" s="884"/>
      <c r="G55" s="884"/>
      <c r="H55" s="885"/>
    </row>
    <row r="56" spans="1:8" x14ac:dyDescent="0.25">
      <c r="A56" s="889"/>
      <c r="B56" s="890"/>
      <c r="C56" s="893" t="s">
        <v>445</v>
      </c>
      <c r="D56" s="894"/>
      <c r="E56" s="894"/>
      <c r="F56" s="894"/>
      <c r="G56" s="894"/>
      <c r="H56" s="895" t="s">
        <v>467</v>
      </c>
    </row>
    <row r="57" spans="1:8" x14ac:dyDescent="0.25">
      <c r="A57" s="891"/>
      <c r="B57" s="892"/>
      <c r="C57" s="896" t="s">
        <v>458</v>
      </c>
      <c r="D57" s="897"/>
      <c r="E57" s="897"/>
      <c r="F57" s="897"/>
      <c r="G57" s="897"/>
      <c r="H57" s="895"/>
    </row>
    <row r="58" spans="1:8" x14ac:dyDescent="0.25">
      <c r="A58" s="891"/>
      <c r="B58" s="892"/>
      <c r="C58" s="898"/>
      <c r="D58" s="899"/>
      <c r="E58" s="899"/>
      <c r="F58" s="899"/>
      <c r="G58" s="899"/>
      <c r="H58" s="895"/>
    </row>
    <row r="59" spans="1:8" ht="30" customHeight="1" x14ac:dyDescent="0.25">
      <c r="A59" s="869" t="s">
        <v>459</v>
      </c>
      <c r="B59" s="870"/>
      <c r="C59" s="870"/>
      <c r="D59" s="870"/>
      <c r="E59" s="870"/>
      <c r="F59" s="870"/>
      <c r="G59" s="870"/>
      <c r="H59" s="871"/>
    </row>
    <row r="60" spans="1:8" ht="18" x14ac:dyDescent="0.35">
      <c r="A60" s="872" t="s">
        <v>468</v>
      </c>
      <c r="B60" s="873"/>
      <c r="C60" s="873"/>
      <c r="D60" s="874"/>
      <c r="E60" s="875" t="s">
        <v>469</v>
      </c>
      <c r="F60" s="876"/>
      <c r="G60" s="876"/>
      <c r="H60" s="877"/>
    </row>
    <row r="61" spans="1:8" ht="15" customHeight="1" x14ac:dyDescent="0.25">
      <c r="A61" s="878"/>
      <c r="B61" s="879"/>
      <c r="C61" s="879"/>
      <c r="D61" s="880"/>
      <c r="E61" s="878"/>
      <c r="F61" s="879"/>
      <c r="G61" s="879"/>
      <c r="H61" s="880"/>
    </row>
    <row r="62" spans="1:8" ht="15" customHeight="1" x14ac:dyDescent="0.25">
      <c r="A62" s="881"/>
      <c r="B62" s="868"/>
      <c r="C62" s="868"/>
      <c r="D62" s="882"/>
      <c r="E62" s="881"/>
      <c r="F62" s="868"/>
      <c r="G62" s="868"/>
      <c r="H62" s="882"/>
    </row>
    <row r="63" spans="1:8" ht="15" customHeight="1" x14ac:dyDescent="0.25">
      <c r="A63" s="881"/>
      <c r="B63" s="868"/>
      <c r="C63" s="868"/>
      <c r="D63" s="882"/>
      <c r="E63" s="881"/>
      <c r="F63" s="868"/>
      <c r="G63" s="868"/>
      <c r="H63" s="882"/>
    </row>
    <row r="64" spans="1:8" ht="15" customHeight="1" x14ac:dyDescent="0.25">
      <c r="A64" s="881"/>
      <c r="B64" s="868"/>
      <c r="C64" s="868"/>
      <c r="D64" s="882"/>
      <c r="E64" s="881"/>
      <c r="F64" s="868"/>
      <c r="G64" s="868"/>
      <c r="H64" s="882"/>
    </row>
    <row r="65" spans="1:8" ht="15" customHeight="1" x14ac:dyDescent="0.25">
      <c r="A65" s="881"/>
      <c r="B65" s="868"/>
      <c r="C65" s="868"/>
      <c r="D65" s="882"/>
      <c r="E65" s="881"/>
      <c r="F65" s="868"/>
      <c r="G65" s="868"/>
      <c r="H65" s="882"/>
    </row>
    <row r="66" spans="1:8" ht="15" customHeight="1" x14ac:dyDescent="0.25">
      <c r="A66" s="881"/>
      <c r="B66" s="868"/>
      <c r="C66" s="868"/>
      <c r="D66" s="882"/>
      <c r="E66" s="881"/>
      <c r="F66" s="868"/>
      <c r="G66" s="868"/>
      <c r="H66" s="882"/>
    </row>
    <row r="67" spans="1:8" ht="15" customHeight="1" x14ac:dyDescent="0.25">
      <c r="A67" s="881"/>
      <c r="B67" s="868"/>
      <c r="C67" s="868"/>
      <c r="D67" s="882"/>
      <c r="E67" s="881"/>
      <c r="F67" s="868"/>
      <c r="G67" s="868"/>
      <c r="H67" s="882"/>
    </row>
    <row r="68" spans="1:8" ht="15" customHeight="1" x14ac:dyDescent="0.25">
      <c r="A68" s="881"/>
      <c r="B68" s="868"/>
      <c r="C68" s="868"/>
      <c r="D68" s="882"/>
      <c r="E68" s="881"/>
      <c r="F68" s="868"/>
      <c r="G68" s="868"/>
      <c r="H68" s="882"/>
    </row>
    <row r="69" spans="1:8" ht="15" customHeight="1" x14ac:dyDescent="0.25">
      <c r="A69" s="881"/>
      <c r="B69" s="868"/>
      <c r="C69" s="868"/>
      <c r="D69" s="882"/>
      <c r="E69" s="881"/>
      <c r="F69" s="868"/>
      <c r="G69" s="868"/>
      <c r="H69" s="882"/>
    </row>
    <row r="70" spans="1:8" ht="15" customHeight="1" x14ac:dyDescent="0.25">
      <c r="A70" s="881"/>
      <c r="B70" s="868"/>
      <c r="C70" s="868"/>
      <c r="D70" s="882"/>
      <c r="E70" s="881"/>
      <c r="F70" s="868"/>
      <c r="G70" s="868"/>
      <c r="H70" s="882"/>
    </row>
    <row r="71" spans="1:8" ht="15" customHeight="1" x14ac:dyDescent="0.25">
      <c r="A71" s="881"/>
      <c r="B71" s="868"/>
      <c r="C71" s="868"/>
      <c r="D71" s="882"/>
      <c r="E71" s="881"/>
      <c r="F71" s="868"/>
      <c r="G71" s="868"/>
      <c r="H71" s="882"/>
    </row>
    <row r="72" spans="1:8" ht="15" customHeight="1" x14ac:dyDescent="0.25">
      <c r="A72" s="881"/>
      <c r="B72" s="868"/>
      <c r="C72" s="868"/>
      <c r="D72" s="882"/>
      <c r="E72" s="881"/>
      <c r="F72" s="868"/>
      <c r="G72" s="868"/>
      <c r="H72" s="882"/>
    </row>
    <row r="73" spans="1:8" ht="15" customHeight="1" x14ac:dyDescent="0.25">
      <c r="A73" s="881"/>
      <c r="B73" s="868"/>
      <c r="C73" s="868"/>
      <c r="D73" s="882"/>
      <c r="E73" s="881"/>
      <c r="F73" s="868"/>
      <c r="G73" s="868"/>
      <c r="H73" s="882"/>
    </row>
    <row r="74" spans="1:8" ht="15" customHeight="1" x14ac:dyDescent="0.25">
      <c r="A74" s="881"/>
      <c r="B74" s="868"/>
      <c r="C74" s="868"/>
      <c r="D74" s="882"/>
      <c r="E74" s="881"/>
      <c r="F74" s="868"/>
      <c r="G74" s="868"/>
      <c r="H74" s="882"/>
    </row>
    <row r="75" spans="1:8" ht="15" customHeight="1" x14ac:dyDescent="0.25">
      <c r="A75" s="881"/>
      <c r="B75" s="868"/>
      <c r="C75" s="868"/>
      <c r="D75" s="882"/>
      <c r="E75" s="881"/>
      <c r="F75" s="868"/>
      <c r="G75" s="868"/>
      <c r="H75" s="882"/>
    </row>
    <row r="76" spans="1:8" ht="15" customHeight="1" x14ac:dyDescent="0.25">
      <c r="A76" s="883"/>
      <c r="B76" s="884"/>
      <c r="C76" s="884"/>
      <c r="D76" s="885"/>
      <c r="E76" s="883"/>
      <c r="F76" s="884"/>
      <c r="G76" s="884"/>
      <c r="H76" s="885"/>
    </row>
    <row r="77" spans="1:8" ht="18" x14ac:dyDescent="0.25">
      <c r="A77" s="886" t="s">
        <v>470</v>
      </c>
      <c r="B77" s="887"/>
      <c r="C77" s="887"/>
      <c r="D77" s="888"/>
      <c r="E77" s="875" t="s">
        <v>471</v>
      </c>
      <c r="F77" s="876"/>
      <c r="G77" s="876"/>
      <c r="H77" s="877"/>
    </row>
    <row r="78" spans="1:8" ht="15" customHeight="1" x14ac:dyDescent="0.25">
      <c r="A78" s="878"/>
      <c r="B78" s="879"/>
      <c r="C78" s="879"/>
      <c r="D78" s="880"/>
      <c r="E78" s="878"/>
      <c r="F78" s="879"/>
      <c r="G78" s="879"/>
      <c r="H78" s="880"/>
    </row>
    <row r="79" spans="1:8" ht="15" customHeight="1" x14ac:dyDescent="0.25">
      <c r="A79" s="881"/>
      <c r="B79" s="868"/>
      <c r="C79" s="868"/>
      <c r="D79" s="882"/>
      <c r="E79" s="881"/>
      <c r="F79" s="868"/>
      <c r="G79" s="868"/>
      <c r="H79" s="882"/>
    </row>
    <row r="80" spans="1:8" ht="15" customHeight="1" x14ac:dyDescent="0.25">
      <c r="A80" s="881"/>
      <c r="B80" s="868"/>
      <c r="C80" s="868"/>
      <c r="D80" s="882"/>
      <c r="E80" s="881"/>
      <c r="F80" s="868"/>
      <c r="G80" s="868"/>
      <c r="H80" s="882"/>
    </row>
    <row r="81" spans="1:8" ht="15" customHeight="1" x14ac:dyDescent="0.25">
      <c r="A81" s="881"/>
      <c r="B81" s="868"/>
      <c r="C81" s="868"/>
      <c r="D81" s="882"/>
      <c r="E81" s="881"/>
      <c r="F81" s="868"/>
      <c r="G81" s="868"/>
      <c r="H81" s="882"/>
    </row>
    <row r="82" spans="1:8" ht="15" customHeight="1" x14ac:dyDescent="0.25">
      <c r="A82" s="881"/>
      <c r="B82" s="868"/>
      <c r="C82" s="868"/>
      <c r="D82" s="882"/>
      <c r="E82" s="881"/>
      <c r="F82" s="868"/>
      <c r="G82" s="868"/>
      <c r="H82" s="882"/>
    </row>
    <row r="83" spans="1:8" ht="15" customHeight="1" x14ac:dyDescent="0.25">
      <c r="A83" s="881"/>
      <c r="B83" s="868"/>
      <c r="C83" s="868"/>
      <c r="D83" s="882"/>
      <c r="E83" s="881"/>
      <c r="F83" s="868"/>
      <c r="G83" s="868"/>
      <c r="H83" s="882"/>
    </row>
    <row r="84" spans="1:8" ht="15" customHeight="1" x14ac:dyDescent="0.25">
      <c r="A84" s="881"/>
      <c r="B84" s="868"/>
      <c r="C84" s="868"/>
      <c r="D84" s="882"/>
      <c r="E84" s="881"/>
      <c r="F84" s="868"/>
      <c r="G84" s="868"/>
      <c r="H84" s="882"/>
    </row>
    <row r="85" spans="1:8" ht="15" customHeight="1" x14ac:dyDescent="0.25">
      <c r="A85" s="881"/>
      <c r="B85" s="868"/>
      <c r="C85" s="868"/>
      <c r="D85" s="882"/>
      <c r="E85" s="881"/>
      <c r="F85" s="868"/>
      <c r="G85" s="868"/>
      <c r="H85" s="882"/>
    </row>
    <row r="86" spans="1:8" ht="15" customHeight="1" x14ac:dyDescent="0.25">
      <c r="A86" s="881"/>
      <c r="B86" s="868"/>
      <c r="C86" s="868"/>
      <c r="D86" s="882"/>
      <c r="E86" s="881"/>
      <c r="F86" s="868"/>
      <c r="G86" s="868"/>
      <c r="H86" s="882"/>
    </row>
    <row r="87" spans="1:8" ht="15" customHeight="1" x14ac:dyDescent="0.25">
      <c r="A87" s="881"/>
      <c r="B87" s="868"/>
      <c r="C87" s="868"/>
      <c r="D87" s="882"/>
      <c r="E87" s="881"/>
      <c r="F87" s="868"/>
      <c r="G87" s="868"/>
      <c r="H87" s="882"/>
    </row>
    <row r="88" spans="1:8" ht="15" customHeight="1" x14ac:dyDescent="0.25">
      <c r="A88" s="881"/>
      <c r="B88" s="868"/>
      <c r="C88" s="868"/>
      <c r="D88" s="882"/>
      <c r="E88" s="881"/>
      <c r="F88" s="868"/>
      <c r="G88" s="868"/>
      <c r="H88" s="882"/>
    </row>
    <row r="89" spans="1:8" ht="15" customHeight="1" x14ac:dyDescent="0.25">
      <c r="A89" s="881"/>
      <c r="B89" s="868"/>
      <c r="C89" s="868"/>
      <c r="D89" s="882"/>
      <c r="E89" s="881"/>
      <c r="F89" s="868"/>
      <c r="G89" s="868"/>
      <c r="H89" s="882"/>
    </row>
    <row r="90" spans="1:8" ht="15" customHeight="1" x14ac:dyDescent="0.25">
      <c r="A90" s="881"/>
      <c r="B90" s="868"/>
      <c r="C90" s="868"/>
      <c r="D90" s="882"/>
      <c r="E90" s="881"/>
      <c r="F90" s="868"/>
      <c r="G90" s="868"/>
      <c r="H90" s="882"/>
    </row>
    <row r="91" spans="1:8" ht="15" customHeight="1" x14ac:dyDescent="0.25">
      <c r="A91" s="881"/>
      <c r="B91" s="868"/>
      <c r="C91" s="868"/>
      <c r="D91" s="882"/>
      <c r="E91" s="881"/>
      <c r="F91" s="868"/>
      <c r="G91" s="868"/>
      <c r="H91" s="882"/>
    </row>
    <row r="92" spans="1:8" ht="15" customHeight="1" x14ac:dyDescent="0.25">
      <c r="A92" s="881"/>
      <c r="B92" s="868"/>
      <c r="C92" s="868"/>
      <c r="D92" s="882"/>
      <c r="E92" s="881"/>
      <c r="F92" s="868"/>
      <c r="G92" s="868"/>
      <c r="H92" s="882"/>
    </row>
    <row r="93" spans="1:8" ht="15" customHeight="1" x14ac:dyDescent="0.25">
      <c r="A93" s="883"/>
      <c r="B93" s="884"/>
      <c r="C93" s="884"/>
      <c r="D93" s="885"/>
      <c r="E93" s="883"/>
      <c r="F93" s="884"/>
      <c r="G93" s="884"/>
      <c r="H93" s="885"/>
    </row>
    <row r="94" spans="1:8" ht="18" x14ac:dyDescent="0.35">
      <c r="A94" s="872" t="s">
        <v>472</v>
      </c>
      <c r="B94" s="873"/>
      <c r="C94" s="873"/>
      <c r="D94" s="873"/>
      <c r="E94" s="875" t="s">
        <v>473</v>
      </c>
      <c r="F94" s="876"/>
      <c r="G94" s="876"/>
      <c r="H94" s="877"/>
    </row>
    <row r="95" spans="1:8" ht="15" customHeight="1" x14ac:dyDescent="0.25">
      <c r="A95" s="878" t="s">
        <v>466</v>
      </c>
      <c r="B95" s="879"/>
      <c r="C95" s="879"/>
      <c r="D95" s="880"/>
      <c r="E95" s="878"/>
      <c r="F95" s="879"/>
      <c r="G95" s="879"/>
      <c r="H95" s="880"/>
    </row>
    <row r="96" spans="1:8" ht="15" customHeight="1" x14ac:dyDescent="0.25">
      <c r="A96" s="881"/>
      <c r="B96" s="868"/>
      <c r="C96" s="868"/>
      <c r="D96" s="882"/>
      <c r="E96" s="881"/>
      <c r="F96" s="868"/>
      <c r="G96" s="868"/>
      <c r="H96" s="882"/>
    </row>
    <row r="97" spans="1:8" ht="15" customHeight="1" x14ac:dyDescent="0.25">
      <c r="A97" s="881"/>
      <c r="B97" s="868"/>
      <c r="C97" s="868"/>
      <c r="D97" s="882"/>
      <c r="E97" s="881"/>
      <c r="F97" s="868"/>
      <c r="G97" s="868"/>
      <c r="H97" s="882"/>
    </row>
    <row r="98" spans="1:8" ht="15" customHeight="1" x14ac:dyDescent="0.25">
      <c r="A98" s="881"/>
      <c r="B98" s="868"/>
      <c r="C98" s="868"/>
      <c r="D98" s="882"/>
      <c r="E98" s="881"/>
      <c r="F98" s="868"/>
      <c r="G98" s="868"/>
      <c r="H98" s="882"/>
    </row>
    <row r="99" spans="1:8" ht="15" customHeight="1" x14ac:dyDescent="0.25">
      <c r="A99" s="881"/>
      <c r="B99" s="868"/>
      <c r="C99" s="868"/>
      <c r="D99" s="882"/>
      <c r="E99" s="881"/>
      <c r="F99" s="868"/>
      <c r="G99" s="868"/>
      <c r="H99" s="882"/>
    </row>
    <row r="100" spans="1:8" ht="15" customHeight="1" x14ac:dyDescent="0.25">
      <c r="A100" s="881"/>
      <c r="B100" s="868"/>
      <c r="C100" s="868"/>
      <c r="D100" s="882"/>
      <c r="E100" s="881"/>
      <c r="F100" s="868"/>
      <c r="G100" s="868"/>
      <c r="H100" s="882"/>
    </row>
    <row r="101" spans="1:8" ht="15" customHeight="1" x14ac:dyDescent="0.25">
      <c r="A101" s="881"/>
      <c r="B101" s="868"/>
      <c r="C101" s="868"/>
      <c r="D101" s="882"/>
      <c r="E101" s="881"/>
      <c r="F101" s="868"/>
      <c r="G101" s="868"/>
      <c r="H101" s="882"/>
    </row>
    <row r="102" spans="1:8" ht="15" customHeight="1" x14ac:dyDescent="0.25">
      <c r="A102" s="881"/>
      <c r="B102" s="868"/>
      <c r="C102" s="868"/>
      <c r="D102" s="882"/>
      <c r="E102" s="881"/>
      <c r="F102" s="868"/>
      <c r="G102" s="868"/>
      <c r="H102" s="882"/>
    </row>
    <row r="103" spans="1:8" ht="15" customHeight="1" x14ac:dyDescent="0.25">
      <c r="A103" s="881"/>
      <c r="B103" s="868"/>
      <c r="C103" s="868"/>
      <c r="D103" s="882"/>
      <c r="E103" s="881"/>
      <c r="F103" s="868"/>
      <c r="G103" s="868"/>
      <c r="H103" s="882"/>
    </row>
    <row r="104" spans="1:8" ht="15" customHeight="1" x14ac:dyDescent="0.25">
      <c r="A104" s="881"/>
      <c r="B104" s="868"/>
      <c r="C104" s="868"/>
      <c r="D104" s="882"/>
      <c r="E104" s="881"/>
      <c r="F104" s="868"/>
      <c r="G104" s="868"/>
      <c r="H104" s="882"/>
    </row>
    <row r="105" spans="1:8" ht="15" customHeight="1" x14ac:dyDescent="0.25">
      <c r="A105" s="881"/>
      <c r="B105" s="868"/>
      <c r="C105" s="868"/>
      <c r="D105" s="882"/>
      <c r="E105" s="881"/>
      <c r="F105" s="868"/>
      <c r="G105" s="868"/>
      <c r="H105" s="882"/>
    </row>
    <row r="106" spans="1:8" ht="15" customHeight="1" x14ac:dyDescent="0.25">
      <c r="A106" s="881"/>
      <c r="B106" s="868"/>
      <c r="C106" s="868"/>
      <c r="D106" s="882"/>
      <c r="E106" s="881"/>
      <c r="F106" s="868"/>
      <c r="G106" s="868"/>
      <c r="H106" s="882"/>
    </row>
    <row r="107" spans="1:8" ht="15" customHeight="1" x14ac:dyDescent="0.25">
      <c r="A107" s="881"/>
      <c r="B107" s="868"/>
      <c r="C107" s="868"/>
      <c r="D107" s="882"/>
      <c r="E107" s="881"/>
      <c r="F107" s="868"/>
      <c r="G107" s="868"/>
      <c r="H107" s="882"/>
    </row>
    <row r="108" spans="1:8" ht="15" customHeight="1" x14ac:dyDescent="0.25">
      <c r="A108" s="881"/>
      <c r="B108" s="868"/>
      <c r="C108" s="868"/>
      <c r="D108" s="882"/>
      <c r="E108" s="881"/>
      <c r="F108" s="868"/>
      <c r="G108" s="868"/>
      <c r="H108" s="882"/>
    </row>
    <row r="109" spans="1:8" ht="15" customHeight="1" x14ac:dyDescent="0.25">
      <c r="A109" s="881"/>
      <c r="B109" s="868"/>
      <c r="C109" s="868"/>
      <c r="D109" s="882"/>
      <c r="E109" s="881"/>
      <c r="F109" s="868"/>
      <c r="G109" s="868"/>
      <c r="H109" s="882"/>
    </row>
    <row r="110" spans="1:8" ht="15" customHeight="1" x14ac:dyDescent="0.25">
      <c r="A110" s="883"/>
      <c r="B110" s="884"/>
      <c r="C110" s="884"/>
      <c r="D110" s="885"/>
      <c r="E110" s="883"/>
      <c r="F110" s="884"/>
      <c r="G110" s="884"/>
      <c r="H110" s="885"/>
    </row>
    <row r="111" spans="1:8" x14ac:dyDescent="0.25">
      <c r="A111" s="889"/>
      <c r="B111" s="890"/>
      <c r="C111" s="893" t="s">
        <v>445</v>
      </c>
      <c r="D111" s="894"/>
      <c r="E111" s="894"/>
      <c r="F111" s="894"/>
      <c r="G111" s="894"/>
      <c r="H111" s="895" t="s">
        <v>474</v>
      </c>
    </row>
    <row r="112" spans="1:8" x14ac:dyDescent="0.25">
      <c r="A112" s="891"/>
      <c r="B112" s="892"/>
      <c r="C112" s="896" t="s">
        <v>458</v>
      </c>
      <c r="D112" s="897"/>
      <c r="E112" s="897"/>
      <c r="F112" s="897"/>
      <c r="G112" s="897"/>
      <c r="H112" s="895"/>
    </row>
    <row r="113" spans="1:8" ht="12" customHeight="1" x14ac:dyDescent="0.25">
      <c r="A113" s="891"/>
      <c r="B113" s="892"/>
      <c r="C113" s="898"/>
      <c r="D113" s="899"/>
      <c r="E113" s="899"/>
      <c r="F113" s="899"/>
      <c r="G113" s="899"/>
      <c r="H113" s="895"/>
    </row>
    <row r="114" spans="1:8" ht="30" customHeight="1" x14ac:dyDescent="0.25">
      <c r="A114" s="869" t="s">
        <v>459</v>
      </c>
      <c r="B114" s="870"/>
      <c r="C114" s="870"/>
      <c r="D114" s="870"/>
      <c r="E114" s="870"/>
      <c r="F114" s="870"/>
      <c r="G114" s="870"/>
      <c r="H114" s="871"/>
    </row>
    <row r="115" spans="1:8" ht="18" x14ac:dyDescent="0.35">
      <c r="A115" s="872" t="s">
        <v>475</v>
      </c>
      <c r="B115" s="873"/>
      <c r="C115" s="873"/>
      <c r="D115" s="874"/>
      <c r="E115" s="875" t="s">
        <v>476</v>
      </c>
      <c r="F115" s="876"/>
      <c r="G115" s="876"/>
      <c r="H115" s="877"/>
    </row>
    <row r="116" spans="1:8" ht="15" customHeight="1" x14ac:dyDescent="0.25">
      <c r="A116" s="878"/>
      <c r="B116" s="879"/>
      <c r="C116" s="879"/>
      <c r="D116" s="880"/>
      <c r="E116" s="878"/>
      <c r="F116" s="879"/>
      <c r="G116" s="879"/>
      <c r="H116" s="880"/>
    </row>
    <row r="117" spans="1:8" ht="15" customHeight="1" x14ac:dyDescent="0.25">
      <c r="A117" s="881"/>
      <c r="B117" s="868"/>
      <c r="C117" s="868"/>
      <c r="D117" s="882"/>
      <c r="E117" s="881"/>
      <c r="F117" s="868"/>
      <c r="G117" s="868"/>
      <c r="H117" s="882"/>
    </row>
    <row r="118" spans="1:8" ht="15" customHeight="1" x14ac:dyDescent="0.25">
      <c r="A118" s="881"/>
      <c r="B118" s="868"/>
      <c r="C118" s="868"/>
      <c r="D118" s="882"/>
      <c r="E118" s="881"/>
      <c r="F118" s="868"/>
      <c r="G118" s="868"/>
      <c r="H118" s="882"/>
    </row>
    <row r="119" spans="1:8" ht="15" customHeight="1" x14ac:dyDescent="0.25">
      <c r="A119" s="881"/>
      <c r="B119" s="868"/>
      <c r="C119" s="868"/>
      <c r="D119" s="882"/>
      <c r="E119" s="881"/>
      <c r="F119" s="868"/>
      <c r="G119" s="868"/>
      <c r="H119" s="882"/>
    </row>
    <row r="120" spans="1:8" ht="15" customHeight="1" x14ac:dyDescent="0.25">
      <c r="A120" s="881"/>
      <c r="B120" s="868"/>
      <c r="C120" s="868"/>
      <c r="D120" s="882"/>
      <c r="E120" s="881"/>
      <c r="F120" s="868"/>
      <c r="G120" s="868"/>
      <c r="H120" s="882"/>
    </row>
    <row r="121" spans="1:8" ht="15" customHeight="1" x14ac:dyDescent="0.25">
      <c r="A121" s="881"/>
      <c r="B121" s="868"/>
      <c r="C121" s="868"/>
      <c r="D121" s="882"/>
      <c r="E121" s="881"/>
      <c r="F121" s="868"/>
      <c r="G121" s="868"/>
      <c r="H121" s="882"/>
    </row>
    <row r="122" spans="1:8" ht="15" customHeight="1" x14ac:dyDescent="0.25">
      <c r="A122" s="881"/>
      <c r="B122" s="868"/>
      <c r="C122" s="868"/>
      <c r="D122" s="882"/>
      <c r="E122" s="881"/>
      <c r="F122" s="868"/>
      <c r="G122" s="868"/>
      <c r="H122" s="882"/>
    </row>
    <row r="123" spans="1:8" ht="15" customHeight="1" x14ac:dyDescent="0.25">
      <c r="A123" s="881"/>
      <c r="B123" s="868"/>
      <c r="C123" s="868"/>
      <c r="D123" s="882"/>
      <c r="E123" s="881"/>
      <c r="F123" s="868"/>
      <c r="G123" s="868"/>
      <c r="H123" s="882"/>
    </row>
    <row r="124" spans="1:8" ht="15" customHeight="1" x14ac:dyDescent="0.25">
      <c r="A124" s="881"/>
      <c r="B124" s="868"/>
      <c r="C124" s="868"/>
      <c r="D124" s="882"/>
      <c r="E124" s="881"/>
      <c r="F124" s="868"/>
      <c r="G124" s="868"/>
      <c r="H124" s="882"/>
    </row>
    <row r="125" spans="1:8" ht="15" customHeight="1" x14ac:dyDescent="0.25">
      <c r="A125" s="881"/>
      <c r="B125" s="868"/>
      <c r="C125" s="868"/>
      <c r="D125" s="882"/>
      <c r="E125" s="881"/>
      <c r="F125" s="868"/>
      <c r="G125" s="868"/>
      <c r="H125" s="882"/>
    </row>
    <row r="126" spans="1:8" ht="15" customHeight="1" x14ac:dyDescent="0.25">
      <c r="A126" s="881"/>
      <c r="B126" s="868"/>
      <c r="C126" s="868"/>
      <c r="D126" s="882"/>
      <c r="E126" s="881"/>
      <c r="F126" s="868"/>
      <c r="G126" s="868"/>
      <c r="H126" s="882"/>
    </row>
    <row r="127" spans="1:8" ht="15" customHeight="1" x14ac:dyDescent="0.25">
      <c r="A127" s="881"/>
      <c r="B127" s="868"/>
      <c r="C127" s="868"/>
      <c r="D127" s="882"/>
      <c r="E127" s="881"/>
      <c r="F127" s="868"/>
      <c r="G127" s="868"/>
      <c r="H127" s="882"/>
    </row>
    <row r="128" spans="1:8" ht="15" customHeight="1" x14ac:dyDescent="0.25">
      <c r="A128" s="881"/>
      <c r="B128" s="868"/>
      <c r="C128" s="868"/>
      <c r="D128" s="882"/>
      <c r="E128" s="881"/>
      <c r="F128" s="868"/>
      <c r="G128" s="868"/>
      <c r="H128" s="882"/>
    </row>
    <row r="129" spans="1:8" ht="15" customHeight="1" x14ac:dyDescent="0.25">
      <c r="A129" s="881"/>
      <c r="B129" s="868"/>
      <c r="C129" s="868"/>
      <c r="D129" s="882"/>
      <c r="E129" s="881"/>
      <c r="F129" s="868"/>
      <c r="G129" s="868"/>
      <c r="H129" s="882"/>
    </row>
    <row r="130" spans="1:8" ht="15" customHeight="1" x14ac:dyDescent="0.25">
      <c r="A130" s="881"/>
      <c r="B130" s="868"/>
      <c r="C130" s="868"/>
      <c r="D130" s="882"/>
      <c r="E130" s="881"/>
      <c r="F130" s="868"/>
      <c r="G130" s="868"/>
      <c r="H130" s="882"/>
    </row>
    <row r="131" spans="1:8" ht="15" customHeight="1" x14ac:dyDescent="0.25">
      <c r="A131" s="883"/>
      <c r="B131" s="884"/>
      <c r="C131" s="884"/>
      <c r="D131" s="885"/>
      <c r="E131" s="883"/>
      <c r="F131" s="884"/>
      <c r="G131" s="884"/>
      <c r="H131" s="885"/>
    </row>
    <row r="132" spans="1:8" ht="18" x14ac:dyDescent="0.25">
      <c r="A132" s="886" t="s">
        <v>477</v>
      </c>
      <c r="B132" s="887"/>
      <c r="C132" s="887"/>
      <c r="D132" s="888"/>
      <c r="E132" s="875" t="s">
        <v>478</v>
      </c>
      <c r="F132" s="876"/>
      <c r="G132" s="876"/>
      <c r="H132" s="877"/>
    </row>
    <row r="133" spans="1:8" ht="15" customHeight="1" x14ac:dyDescent="0.25">
      <c r="A133" s="878"/>
      <c r="B133" s="879"/>
      <c r="C133" s="879"/>
      <c r="D133" s="880"/>
      <c r="E133" s="878"/>
      <c r="F133" s="879"/>
      <c r="G133" s="879"/>
      <c r="H133" s="880"/>
    </row>
    <row r="134" spans="1:8" ht="15" customHeight="1" x14ac:dyDescent="0.25">
      <c r="A134" s="881"/>
      <c r="B134" s="868"/>
      <c r="C134" s="868"/>
      <c r="D134" s="882"/>
      <c r="E134" s="881"/>
      <c r="F134" s="868"/>
      <c r="G134" s="868"/>
      <c r="H134" s="882"/>
    </row>
    <row r="135" spans="1:8" ht="15" customHeight="1" x14ac:dyDescent="0.25">
      <c r="A135" s="881"/>
      <c r="B135" s="868"/>
      <c r="C135" s="868"/>
      <c r="D135" s="882"/>
      <c r="E135" s="881"/>
      <c r="F135" s="868"/>
      <c r="G135" s="868"/>
      <c r="H135" s="882"/>
    </row>
    <row r="136" spans="1:8" ht="15" customHeight="1" x14ac:dyDescent="0.25">
      <c r="A136" s="881"/>
      <c r="B136" s="868"/>
      <c r="C136" s="868"/>
      <c r="D136" s="882"/>
      <c r="E136" s="881"/>
      <c r="F136" s="868"/>
      <c r="G136" s="868"/>
      <c r="H136" s="882"/>
    </row>
    <row r="137" spans="1:8" ht="15" customHeight="1" x14ac:dyDescent="0.25">
      <c r="A137" s="881"/>
      <c r="B137" s="868"/>
      <c r="C137" s="868"/>
      <c r="D137" s="882"/>
      <c r="E137" s="881"/>
      <c r="F137" s="868"/>
      <c r="G137" s="868"/>
      <c r="H137" s="882"/>
    </row>
    <row r="138" spans="1:8" ht="15" customHeight="1" x14ac:dyDescent="0.25">
      <c r="A138" s="881"/>
      <c r="B138" s="868"/>
      <c r="C138" s="868"/>
      <c r="D138" s="882"/>
      <c r="E138" s="881"/>
      <c r="F138" s="868"/>
      <c r="G138" s="868"/>
      <c r="H138" s="882"/>
    </row>
    <row r="139" spans="1:8" ht="15" customHeight="1" x14ac:dyDescent="0.25">
      <c r="A139" s="881"/>
      <c r="B139" s="868"/>
      <c r="C139" s="868"/>
      <c r="D139" s="882"/>
      <c r="E139" s="881"/>
      <c r="F139" s="868"/>
      <c r="G139" s="868"/>
      <c r="H139" s="882"/>
    </row>
    <row r="140" spans="1:8" ht="15" customHeight="1" x14ac:dyDescent="0.25">
      <c r="A140" s="881"/>
      <c r="B140" s="868"/>
      <c r="C140" s="868"/>
      <c r="D140" s="882"/>
      <c r="E140" s="881"/>
      <c r="F140" s="868"/>
      <c r="G140" s="868"/>
      <c r="H140" s="882"/>
    </row>
    <row r="141" spans="1:8" ht="15" customHeight="1" x14ac:dyDescent="0.25">
      <c r="A141" s="881"/>
      <c r="B141" s="868"/>
      <c r="C141" s="868"/>
      <c r="D141" s="882"/>
      <c r="E141" s="881"/>
      <c r="F141" s="868"/>
      <c r="G141" s="868"/>
      <c r="H141" s="882"/>
    </row>
    <row r="142" spans="1:8" ht="15" customHeight="1" x14ac:dyDescent="0.25">
      <c r="A142" s="881"/>
      <c r="B142" s="868"/>
      <c r="C142" s="868"/>
      <c r="D142" s="882"/>
      <c r="E142" s="881"/>
      <c r="F142" s="868"/>
      <c r="G142" s="868"/>
      <c r="H142" s="882"/>
    </row>
    <row r="143" spans="1:8" ht="15" customHeight="1" x14ac:dyDescent="0.25">
      <c r="A143" s="881"/>
      <c r="B143" s="868"/>
      <c r="C143" s="868"/>
      <c r="D143" s="882"/>
      <c r="E143" s="881"/>
      <c r="F143" s="868"/>
      <c r="G143" s="868"/>
      <c r="H143" s="882"/>
    </row>
    <row r="144" spans="1:8" ht="15" customHeight="1" x14ac:dyDescent="0.25">
      <c r="A144" s="881"/>
      <c r="B144" s="868"/>
      <c r="C144" s="868"/>
      <c r="D144" s="882"/>
      <c r="E144" s="881"/>
      <c r="F144" s="868"/>
      <c r="G144" s="868"/>
      <c r="H144" s="882"/>
    </row>
    <row r="145" spans="1:8" ht="15" customHeight="1" x14ac:dyDescent="0.25">
      <c r="A145" s="881"/>
      <c r="B145" s="868"/>
      <c r="C145" s="868"/>
      <c r="D145" s="882"/>
      <c r="E145" s="881"/>
      <c r="F145" s="868"/>
      <c r="G145" s="868"/>
      <c r="H145" s="882"/>
    </row>
    <row r="146" spans="1:8" ht="15" customHeight="1" x14ac:dyDescent="0.25">
      <c r="A146" s="881"/>
      <c r="B146" s="868"/>
      <c r="C146" s="868"/>
      <c r="D146" s="882"/>
      <c r="E146" s="881"/>
      <c r="F146" s="868"/>
      <c r="G146" s="868"/>
      <c r="H146" s="882"/>
    </row>
    <row r="147" spans="1:8" ht="15" customHeight="1" x14ac:dyDescent="0.25">
      <c r="A147" s="881"/>
      <c r="B147" s="868"/>
      <c r="C147" s="868"/>
      <c r="D147" s="882"/>
      <c r="E147" s="881"/>
      <c r="F147" s="868"/>
      <c r="G147" s="868"/>
      <c r="H147" s="882"/>
    </row>
    <row r="148" spans="1:8" ht="15" customHeight="1" x14ac:dyDescent="0.25">
      <c r="A148" s="883"/>
      <c r="B148" s="884"/>
      <c r="C148" s="884"/>
      <c r="D148" s="885"/>
      <c r="E148" s="883"/>
      <c r="F148" s="884"/>
      <c r="G148" s="884"/>
      <c r="H148" s="885"/>
    </row>
    <row r="149" spans="1:8" ht="18" x14ac:dyDescent="0.35">
      <c r="A149" s="872" t="s">
        <v>479</v>
      </c>
      <c r="B149" s="873"/>
      <c r="C149" s="873"/>
      <c r="D149" s="873"/>
      <c r="E149" s="875" t="s">
        <v>480</v>
      </c>
      <c r="F149" s="876"/>
      <c r="G149" s="876"/>
      <c r="H149" s="877"/>
    </row>
    <row r="150" spans="1:8" ht="15" customHeight="1" x14ac:dyDescent="0.25">
      <c r="A150" s="878" t="s">
        <v>466</v>
      </c>
      <c r="B150" s="879"/>
      <c r="C150" s="879"/>
      <c r="D150" s="880"/>
      <c r="E150" s="878"/>
      <c r="F150" s="879"/>
      <c r="G150" s="879"/>
      <c r="H150" s="880"/>
    </row>
    <row r="151" spans="1:8" ht="15" customHeight="1" x14ac:dyDescent="0.25">
      <c r="A151" s="881"/>
      <c r="B151" s="868"/>
      <c r="C151" s="868"/>
      <c r="D151" s="882"/>
      <c r="E151" s="881"/>
      <c r="F151" s="868"/>
      <c r="G151" s="868"/>
      <c r="H151" s="882"/>
    </row>
    <row r="152" spans="1:8" ht="15" customHeight="1" x14ac:dyDescent="0.25">
      <c r="A152" s="881"/>
      <c r="B152" s="868"/>
      <c r="C152" s="868"/>
      <c r="D152" s="882"/>
      <c r="E152" s="881"/>
      <c r="F152" s="868"/>
      <c r="G152" s="868"/>
      <c r="H152" s="882"/>
    </row>
    <row r="153" spans="1:8" ht="15" customHeight="1" x14ac:dyDescent="0.25">
      <c r="A153" s="881"/>
      <c r="B153" s="868"/>
      <c r="C153" s="868"/>
      <c r="D153" s="882"/>
      <c r="E153" s="881"/>
      <c r="F153" s="868"/>
      <c r="G153" s="868"/>
      <c r="H153" s="882"/>
    </row>
    <row r="154" spans="1:8" ht="15" customHeight="1" x14ac:dyDescent="0.25">
      <c r="A154" s="881"/>
      <c r="B154" s="868"/>
      <c r="C154" s="868"/>
      <c r="D154" s="882"/>
      <c r="E154" s="881"/>
      <c r="F154" s="868"/>
      <c r="G154" s="868"/>
      <c r="H154" s="882"/>
    </row>
    <row r="155" spans="1:8" ht="15" customHeight="1" x14ac:dyDescent="0.25">
      <c r="A155" s="881"/>
      <c r="B155" s="868"/>
      <c r="C155" s="868"/>
      <c r="D155" s="882"/>
      <c r="E155" s="881"/>
      <c r="F155" s="868"/>
      <c r="G155" s="868"/>
      <c r="H155" s="882"/>
    </row>
    <row r="156" spans="1:8" ht="15" customHeight="1" x14ac:dyDescent="0.25">
      <c r="A156" s="881"/>
      <c r="B156" s="868"/>
      <c r="C156" s="868"/>
      <c r="D156" s="882"/>
      <c r="E156" s="881"/>
      <c r="F156" s="868"/>
      <c r="G156" s="868"/>
      <c r="H156" s="882"/>
    </row>
    <row r="157" spans="1:8" ht="15" customHeight="1" x14ac:dyDescent="0.25">
      <c r="A157" s="881"/>
      <c r="B157" s="868"/>
      <c r="C157" s="868"/>
      <c r="D157" s="882"/>
      <c r="E157" s="881"/>
      <c r="F157" s="868"/>
      <c r="G157" s="868"/>
      <c r="H157" s="882"/>
    </row>
    <row r="158" spans="1:8" ht="15" customHeight="1" x14ac:dyDescent="0.25">
      <c r="A158" s="881"/>
      <c r="B158" s="868"/>
      <c r="C158" s="868"/>
      <c r="D158" s="882"/>
      <c r="E158" s="881"/>
      <c r="F158" s="868"/>
      <c r="G158" s="868"/>
      <c r="H158" s="882"/>
    </row>
    <row r="159" spans="1:8" ht="15" customHeight="1" x14ac:dyDescent="0.25">
      <c r="A159" s="881"/>
      <c r="B159" s="868"/>
      <c r="C159" s="868"/>
      <c r="D159" s="882"/>
      <c r="E159" s="881"/>
      <c r="F159" s="868"/>
      <c r="G159" s="868"/>
      <c r="H159" s="882"/>
    </row>
    <row r="160" spans="1:8" ht="15" customHeight="1" x14ac:dyDescent="0.25">
      <c r="A160" s="881"/>
      <c r="B160" s="868"/>
      <c r="C160" s="868"/>
      <c r="D160" s="882"/>
      <c r="E160" s="881"/>
      <c r="F160" s="868"/>
      <c r="G160" s="868"/>
      <c r="H160" s="882"/>
    </row>
    <row r="161" spans="1:8" ht="15" customHeight="1" x14ac:dyDescent="0.25">
      <c r="A161" s="881"/>
      <c r="B161" s="868"/>
      <c r="C161" s="868"/>
      <c r="D161" s="882"/>
      <c r="E161" s="881"/>
      <c r="F161" s="868"/>
      <c r="G161" s="868"/>
      <c r="H161" s="882"/>
    </row>
    <row r="162" spans="1:8" ht="15" customHeight="1" x14ac:dyDescent="0.25">
      <c r="A162" s="881"/>
      <c r="B162" s="868"/>
      <c r="C162" s="868"/>
      <c r="D162" s="882"/>
      <c r="E162" s="881"/>
      <c r="F162" s="868"/>
      <c r="G162" s="868"/>
      <c r="H162" s="882"/>
    </row>
    <row r="163" spans="1:8" ht="15" customHeight="1" x14ac:dyDescent="0.25">
      <c r="A163" s="881"/>
      <c r="B163" s="868"/>
      <c r="C163" s="868"/>
      <c r="D163" s="882"/>
      <c r="E163" s="881"/>
      <c r="F163" s="868"/>
      <c r="G163" s="868"/>
      <c r="H163" s="882"/>
    </row>
    <row r="164" spans="1:8" ht="15" customHeight="1" x14ac:dyDescent="0.25">
      <c r="A164" s="881"/>
      <c r="B164" s="868"/>
      <c r="C164" s="868"/>
      <c r="D164" s="882"/>
      <c r="E164" s="881"/>
      <c r="F164" s="868"/>
      <c r="G164" s="868"/>
      <c r="H164" s="882"/>
    </row>
    <row r="165" spans="1:8" ht="15" customHeight="1" x14ac:dyDescent="0.25">
      <c r="A165" s="883"/>
      <c r="B165" s="884"/>
      <c r="C165" s="884"/>
      <c r="D165" s="885"/>
      <c r="E165" s="883"/>
      <c r="F165" s="884"/>
      <c r="G165" s="884"/>
      <c r="H165" s="885"/>
    </row>
    <row r="166" spans="1:8" x14ac:dyDescent="0.25">
      <c r="A166" s="889"/>
      <c r="B166" s="890"/>
      <c r="C166" s="893" t="s">
        <v>445</v>
      </c>
      <c r="D166" s="894"/>
      <c r="E166" s="894"/>
      <c r="F166" s="894"/>
      <c r="G166" s="894"/>
      <c r="H166" s="895" t="s">
        <v>481</v>
      </c>
    </row>
    <row r="167" spans="1:8" x14ac:dyDescent="0.25">
      <c r="A167" s="891"/>
      <c r="B167" s="892"/>
      <c r="C167" s="896" t="s">
        <v>458</v>
      </c>
      <c r="D167" s="897"/>
      <c r="E167" s="897"/>
      <c r="F167" s="897"/>
      <c r="G167" s="897"/>
      <c r="H167" s="895"/>
    </row>
    <row r="168" spans="1:8" x14ac:dyDescent="0.25">
      <c r="A168" s="891"/>
      <c r="B168" s="892"/>
      <c r="C168" s="898"/>
      <c r="D168" s="899"/>
      <c r="E168" s="899"/>
      <c r="F168" s="899"/>
      <c r="G168" s="899"/>
      <c r="H168" s="895"/>
    </row>
    <row r="169" spans="1:8" ht="30" customHeight="1" x14ac:dyDescent="0.25">
      <c r="A169" s="869" t="s">
        <v>459</v>
      </c>
      <c r="B169" s="870"/>
      <c r="C169" s="870"/>
      <c r="D169" s="870"/>
      <c r="E169" s="870"/>
      <c r="F169" s="870"/>
      <c r="G169" s="870"/>
      <c r="H169" s="871"/>
    </row>
    <row r="170" spans="1:8" ht="18" x14ac:dyDescent="0.35">
      <c r="A170" s="872" t="s">
        <v>482</v>
      </c>
      <c r="B170" s="873"/>
      <c r="C170" s="873"/>
      <c r="D170" s="874"/>
      <c r="E170" s="875" t="s">
        <v>483</v>
      </c>
      <c r="F170" s="876"/>
      <c r="G170" s="876"/>
      <c r="H170" s="877"/>
    </row>
    <row r="171" spans="1:8" ht="15" customHeight="1" x14ac:dyDescent="0.25">
      <c r="A171" s="878"/>
      <c r="B171" s="879"/>
      <c r="C171" s="879"/>
      <c r="D171" s="880"/>
      <c r="E171" s="878"/>
      <c r="F171" s="879"/>
      <c r="G171" s="879"/>
      <c r="H171" s="880"/>
    </row>
    <row r="172" spans="1:8" ht="15" customHeight="1" x14ac:dyDescent="0.25">
      <c r="A172" s="881"/>
      <c r="B172" s="868"/>
      <c r="C172" s="868"/>
      <c r="D172" s="882"/>
      <c r="E172" s="881"/>
      <c r="F172" s="868"/>
      <c r="G172" s="868"/>
      <c r="H172" s="882"/>
    </row>
    <row r="173" spans="1:8" ht="15" customHeight="1" x14ac:dyDescent="0.25">
      <c r="A173" s="881"/>
      <c r="B173" s="868"/>
      <c r="C173" s="868"/>
      <c r="D173" s="882"/>
      <c r="E173" s="881"/>
      <c r="F173" s="868"/>
      <c r="G173" s="868"/>
      <c r="H173" s="882"/>
    </row>
    <row r="174" spans="1:8" ht="15" customHeight="1" x14ac:dyDescent="0.25">
      <c r="A174" s="881"/>
      <c r="B174" s="868"/>
      <c r="C174" s="868"/>
      <c r="D174" s="882"/>
      <c r="E174" s="881"/>
      <c r="F174" s="868"/>
      <c r="G174" s="868"/>
      <c r="H174" s="882"/>
    </row>
    <row r="175" spans="1:8" ht="15" customHeight="1" x14ac:dyDescent="0.25">
      <c r="A175" s="881"/>
      <c r="B175" s="868"/>
      <c r="C175" s="868"/>
      <c r="D175" s="882"/>
      <c r="E175" s="881"/>
      <c r="F175" s="868"/>
      <c r="G175" s="868"/>
      <c r="H175" s="882"/>
    </row>
    <row r="176" spans="1:8" ht="15" customHeight="1" x14ac:dyDescent="0.25">
      <c r="A176" s="881"/>
      <c r="B176" s="868"/>
      <c r="C176" s="868"/>
      <c r="D176" s="882"/>
      <c r="E176" s="881"/>
      <c r="F176" s="868"/>
      <c r="G176" s="868"/>
      <c r="H176" s="882"/>
    </row>
    <row r="177" spans="1:8" ht="15" customHeight="1" x14ac:dyDescent="0.25">
      <c r="A177" s="881"/>
      <c r="B177" s="868"/>
      <c r="C177" s="868"/>
      <c r="D177" s="882"/>
      <c r="E177" s="881"/>
      <c r="F177" s="868"/>
      <c r="G177" s="868"/>
      <c r="H177" s="882"/>
    </row>
    <row r="178" spans="1:8" ht="15" customHeight="1" x14ac:dyDescent="0.25">
      <c r="A178" s="881"/>
      <c r="B178" s="868"/>
      <c r="C178" s="868"/>
      <c r="D178" s="882"/>
      <c r="E178" s="881"/>
      <c r="F178" s="868"/>
      <c r="G178" s="868"/>
      <c r="H178" s="882"/>
    </row>
    <row r="179" spans="1:8" ht="15" customHeight="1" x14ac:dyDescent="0.25">
      <c r="A179" s="881"/>
      <c r="B179" s="868"/>
      <c r="C179" s="868"/>
      <c r="D179" s="882"/>
      <c r="E179" s="881"/>
      <c r="F179" s="868"/>
      <c r="G179" s="868"/>
      <c r="H179" s="882"/>
    </row>
    <row r="180" spans="1:8" ht="15" customHeight="1" x14ac:dyDescent="0.25">
      <c r="A180" s="881"/>
      <c r="B180" s="868"/>
      <c r="C180" s="868"/>
      <c r="D180" s="882"/>
      <c r="E180" s="881"/>
      <c r="F180" s="868"/>
      <c r="G180" s="868"/>
      <c r="H180" s="882"/>
    </row>
    <row r="181" spans="1:8" ht="15" customHeight="1" x14ac:dyDescent="0.25">
      <c r="A181" s="881"/>
      <c r="B181" s="868"/>
      <c r="C181" s="868"/>
      <c r="D181" s="882"/>
      <c r="E181" s="881"/>
      <c r="F181" s="868"/>
      <c r="G181" s="868"/>
      <c r="H181" s="882"/>
    </row>
    <row r="182" spans="1:8" ht="15" customHeight="1" x14ac:dyDescent="0.25">
      <c r="A182" s="881"/>
      <c r="B182" s="868"/>
      <c r="C182" s="868"/>
      <c r="D182" s="882"/>
      <c r="E182" s="881"/>
      <c r="F182" s="868"/>
      <c r="G182" s="868"/>
      <c r="H182" s="882"/>
    </row>
    <row r="183" spans="1:8" ht="15" customHeight="1" x14ac:dyDescent="0.25">
      <c r="A183" s="881"/>
      <c r="B183" s="868"/>
      <c r="C183" s="868"/>
      <c r="D183" s="882"/>
      <c r="E183" s="881"/>
      <c r="F183" s="868"/>
      <c r="G183" s="868"/>
      <c r="H183" s="882"/>
    </row>
    <row r="184" spans="1:8" ht="15" customHeight="1" x14ac:dyDescent="0.25">
      <c r="A184" s="881"/>
      <c r="B184" s="868"/>
      <c r="C184" s="868"/>
      <c r="D184" s="882"/>
      <c r="E184" s="881"/>
      <c r="F184" s="868"/>
      <c r="G184" s="868"/>
      <c r="H184" s="882"/>
    </row>
    <row r="185" spans="1:8" ht="15" customHeight="1" x14ac:dyDescent="0.25">
      <c r="A185" s="881"/>
      <c r="B185" s="868"/>
      <c r="C185" s="868"/>
      <c r="D185" s="882"/>
      <c r="E185" s="881"/>
      <c r="F185" s="868"/>
      <c r="G185" s="868"/>
      <c r="H185" s="882"/>
    </row>
    <row r="186" spans="1:8" ht="15" customHeight="1" x14ac:dyDescent="0.25">
      <c r="A186" s="883"/>
      <c r="B186" s="884"/>
      <c r="C186" s="884"/>
      <c r="D186" s="885"/>
      <c r="E186" s="883"/>
      <c r="F186" s="884"/>
      <c r="G186" s="884"/>
      <c r="H186" s="885"/>
    </row>
    <row r="187" spans="1:8" ht="18" x14ac:dyDescent="0.25">
      <c r="A187" s="886" t="s">
        <v>484</v>
      </c>
      <c r="B187" s="887"/>
      <c r="C187" s="887"/>
      <c r="D187" s="888"/>
      <c r="E187" s="875" t="s">
        <v>485</v>
      </c>
      <c r="F187" s="876"/>
      <c r="G187" s="876"/>
      <c r="H187" s="877"/>
    </row>
    <row r="188" spans="1:8" ht="15" customHeight="1" x14ac:dyDescent="0.25">
      <c r="A188" s="878"/>
      <c r="B188" s="879"/>
      <c r="C188" s="879"/>
      <c r="D188" s="880"/>
      <c r="E188" s="878"/>
      <c r="F188" s="879"/>
      <c r="G188" s="879"/>
      <c r="H188" s="880"/>
    </row>
    <row r="189" spans="1:8" ht="15" customHeight="1" x14ac:dyDescent="0.25">
      <c r="A189" s="881"/>
      <c r="B189" s="868"/>
      <c r="C189" s="868"/>
      <c r="D189" s="882"/>
      <c r="E189" s="881"/>
      <c r="F189" s="868"/>
      <c r="G189" s="868"/>
      <c r="H189" s="882"/>
    </row>
    <row r="190" spans="1:8" ht="15" customHeight="1" x14ac:dyDescent="0.25">
      <c r="A190" s="881"/>
      <c r="B190" s="868"/>
      <c r="C190" s="868"/>
      <c r="D190" s="882"/>
      <c r="E190" s="881"/>
      <c r="F190" s="868"/>
      <c r="G190" s="868"/>
      <c r="H190" s="882"/>
    </row>
    <row r="191" spans="1:8" ht="15" customHeight="1" x14ac:dyDescent="0.25">
      <c r="A191" s="881"/>
      <c r="B191" s="868"/>
      <c r="C191" s="868"/>
      <c r="D191" s="882"/>
      <c r="E191" s="881"/>
      <c r="F191" s="868"/>
      <c r="G191" s="868"/>
      <c r="H191" s="882"/>
    </row>
    <row r="192" spans="1:8" ht="15" customHeight="1" x14ac:dyDescent="0.25">
      <c r="A192" s="881"/>
      <c r="B192" s="868"/>
      <c r="C192" s="868"/>
      <c r="D192" s="882"/>
      <c r="E192" s="881"/>
      <c r="F192" s="868"/>
      <c r="G192" s="868"/>
      <c r="H192" s="882"/>
    </row>
    <row r="193" spans="1:8" ht="15" customHeight="1" x14ac:dyDescent="0.25">
      <c r="A193" s="881"/>
      <c r="B193" s="868"/>
      <c r="C193" s="868"/>
      <c r="D193" s="882"/>
      <c r="E193" s="881"/>
      <c r="F193" s="868"/>
      <c r="G193" s="868"/>
      <c r="H193" s="882"/>
    </row>
    <row r="194" spans="1:8" ht="15" customHeight="1" x14ac:dyDescent="0.25">
      <c r="A194" s="881"/>
      <c r="B194" s="868"/>
      <c r="C194" s="868"/>
      <c r="D194" s="882"/>
      <c r="E194" s="881"/>
      <c r="F194" s="868"/>
      <c r="G194" s="868"/>
      <c r="H194" s="882"/>
    </row>
    <row r="195" spans="1:8" ht="15" customHeight="1" x14ac:dyDescent="0.25">
      <c r="A195" s="881"/>
      <c r="B195" s="868"/>
      <c r="C195" s="868"/>
      <c r="D195" s="882"/>
      <c r="E195" s="881"/>
      <c r="F195" s="868"/>
      <c r="G195" s="868"/>
      <c r="H195" s="882"/>
    </row>
    <row r="196" spans="1:8" ht="15" customHeight="1" x14ac:dyDescent="0.25">
      <c r="A196" s="881"/>
      <c r="B196" s="868"/>
      <c r="C196" s="868"/>
      <c r="D196" s="882"/>
      <c r="E196" s="881"/>
      <c r="F196" s="868"/>
      <c r="G196" s="868"/>
      <c r="H196" s="882"/>
    </row>
    <row r="197" spans="1:8" ht="15" customHeight="1" x14ac:dyDescent="0.25">
      <c r="A197" s="881"/>
      <c r="B197" s="868"/>
      <c r="C197" s="868"/>
      <c r="D197" s="882"/>
      <c r="E197" s="881"/>
      <c r="F197" s="868"/>
      <c r="G197" s="868"/>
      <c r="H197" s="882"/>
    </row>
    <row r="198" spans="1:8" ht="15" customHeight="1" x14ac:dyDescent="0.25">
      <c r="A198" s="881"/>
      <c r="B198" s="868"/>
      <c r="C198" s="868"/>
      <c r="D198" s="882"/>
      <c r="E198" s="881"/>
      <c r="F198" s="868"/>
      <c r="G198" s="868"/>
      <c r="H198" s="882"/>
    </row>
    <row r="199" spans="1:8" ht="15" customHeight="1" x14ac:dyDescent="0.25">
      <c r="A199" s="881"/>
      <c r="B199" s="868"/>
      <c r="C199" s="868"/>
      <c r="D199" s="882"/>
      <c r="E199" s="881"/>
      <c r="F199" s="868"/>
      <c r="G199" s="868"/>
      <c r="H199" s="882"/>
    </row>
    <row r="200" spans="1:8" ht="15" customHeight="1" x14ac:dyDescent="0.25">
      <c r="A200" s="881"/>
      <c r="B200" s="868"/>
      <c r="C200" s="868"/>
      <c r="D200" s="882"/>
      <c r="E200" s="881"/>
      <c r="F200" s="868"/>
      <c r="G200" s="868"/>
      <c r="H200" s="882"/>
    </row>
    <row r="201" spans="1:8" ht="15" customHeight="1" x14ac:dyDescent="0.25">
      <c r="A201" s="881"/>
      <c r="B201" s="868"/>
      <c r="C201" s="868"/>
      <c r="D201" s="882"/>
      <c r="E201" s="881"/>
      <c r="F201" s="868"/>
      <c r="G201" s="868"/>
      <c r="H201" s="882"/>
    </row>
    <row r="202" spans="1:8" ht="15" customHeight="1" x14ac:dyDescent="0.25">
      <c r="A202" s="881"/>
      <c r="B202" s="868"/>
      <c r="C202" s="868"/>
      <c r="D202" s="882"/>
      <c r="E202" s="881"/>
      <c r="F202" s="868"/>
      <c r="G202" s="868"/>
      <c r="H202" s="882"/>
    </row>
    <row r="203" spans="1:8" ht="15" customHeight="1" x14ac:dyDescent="0.25">
      <c r="A203" s="883"/>
      <c r="B203" s="884"/>
      <c r="C203" s="884"/>
      <c r="D203" s="885"/>
      <c r="E203" s="883"/>
      <c r="F203" s="884"/>
      <c r="G203" s="884"/>
      <c r="H203" s="885"/>
    </row>
    <row r="204" spans="1:8" ht="18" x14ac:dyDescent="0.35">
      <c r="A204" s="872" t="s">
        <v>486</v>
      </c>
      <c r="B204" s="873"/>
      <c r="C204" s="873"/>
      <c r="D204" s="873"/>
      <c r="E204" s="875" t="s">
        <v>487</v>
      </c>
      <c r="F204" s="876"/>
      <c r="G204" s="876"/>
      <c r="H204" s="877"/>
    </row>
    <row r="205" spans="1:8" ht="15" customHeight="1" x14ac:dyDescent="0.25">
      <c r="A205" s="878" t="s">
        <v>466</v>
      </c>
      <c r="B205" s="879"/>
      <c r="C205" s="879"/>
      <c r="D205" s="880"/>
      <c r="E205" s="878"/>
      <c r="F205" s="879"/>
      <c r="G205" s="879"/>
      <c r="H205" s="880"/>
    </row>
    <row r="206" spans="1:8" ht="15" customHeight="1" x14ac:dyDescent="0.25">
      <c r="A206" s="881"/>
      <c r="B206" s="868"/>
      <c r="C206" s="868"/>
      <c r="D206" s="882"/>
      <c r="E206" s="881"/>
      <c r="F206" s="868"/>
      <c r="G206" s="868"/>
      <c r="H206" s="882"/>
    </row>
    <row r="207" spans="1:8" ht="15" customHeight="1" x14ac:dyDescent="0.25">
      <c r="A207" s="881"/>
      <c r="B207" s="868"/>
      <c r="C207" s="868"/>
      <c r="D207" s="882"/>
      <c r="E207" s="881"/>
      <c r="F207" s="868"/>
      <c r="G207" s="868"/>
      <c r="H207" s="882"/>
    </row>
    <row r="208" spans="1:8" ht="15" customHeight="1" x14ac:dyDescent="0.25">
      <c r="A208" s="881"/>
      <c r="B208" s="868"/>
      <c r="C208" s="868"/>
      <c r="D208" s="882"/>
      <c r="E208" s="881"/>
      <c r="F208" s="868"/>
      <c r="G208" s="868"/>
      <c r="H208" s="882"/>
    </row>
    <row r="209" spans="1:8" ht="15" customHeight="1" x14ac:dyDescent="0.25">
      <c r="A209" s="881"/>
      <c r="B209" s="868"/>
      <c r="C209" s="868"/>
      <c r="D209" s="882"/>
      <c r="E209" s="881"/>
      <c r="F209" s="868"/>
      <c r="G209" s="868"/>
      <c r="H209" s="882"/>
    </row>
    <row r="210" spans="1:8" ht="15" customHeight="1" x14ac:dyDescent="0.25">
      <c r="A210" s="881"/>
      <c r="B210" s="868"/>
      <c r="C210" s="868"/>
      <c r="D210" s="882"/>
      <c r="E210" s="881"/>
      <c r="F210" s="868"/>
      <c r="G210" s="868"/>
      <c r="H210" s="882"/>
    </row>
    <row r="211" spans="1:8" ht="15" customHeight="1" x14ac:dyDescent="0.25">
      <c r="A211" s="881"/>
      <c r="B211" s="868"/>
      <c r="C211" s="868"/>
      <c r="D211" s="882"/>
      <c r="E211" s="881"/>
      <c r="F211" s="868"/>
      <c r="G211" s="868"/>
      <c r="H211" s="882"/>
    </row>
    <row r="212" spans="1:8" ht="15" customHeight="1" x14ac:dyDescent="0.25">
      <c r="A212" s="881"/>
      <c r="B212" s="868"/>
      <c r="C212" s="868"/>
      <c r="D212" s="882"/>
      <c r="E212" s="881"/>
      <c r="F212" s="868"/>
      <c r="G212" s="868"/>
      <c r="H212" s="882"/>
    </row>
    <row r="213" spans="1:8" ht="15" customHeight="1" x14ac:dyDescent="0.25">
      <c r="A213" s="881"/>
      <c r="B213" s="868"/>
      <c r="C213" s="868"/>
      <c r="D213" s="882"/>
      <c r="E213" s="881"/>
      <c r="F213" s="868"/>
      <c r="G213" s="868"/>
      <c r="H213" s="882"/>
    </row>
    <row r="214" spans="1:8" ht="15" customHeight="1" x14ac:dyDescent="0.25">
      <c r="A214" s="881"/>
      <c r="B214" s="868"/>
      <c r="C214" s="868"/>
      <c r="D214" s="882"/>
      <c r="E214" s="881"/>
      <c r="F214" s="868"/>
      <c r="G214" s="868"/>
      <c r="H214" s="882"/>
    </row>
    <row r="215" spans="1:8" ht="15" customHeight="1" x14ac:dyDescent="0.25">
      <c r="A215" s="881"/>
      <c r="B215" s="868"/>
      <c r="C215" s="868"/>
      <c r="D215" s="882"/>
      <c r="E215" s="881"/>
      <c r="F215" s="868"/>
      <c r="G215" s="868"/>
      <c r="H215" s="882"/>
    </row>
    <row r="216" spans="1:8" ht="15" customHeight="1" x14ac:dyDescent="0.25">
      <c r="A216" s="881"/>
      <c r="B216" s="868"/>
      <c r="C216" s="868"/>
      <c r="D216" s="882"/>
      <c r="E216" s="881"/>
      <c r="F216" s="868"/>
      <c r="G216" s="868"/>
      <c r="H216" s="882"/>
    </row>
    <row r="217" spans="1:8" ht="15" customHeight="1" x14ac:dyDescent="0.25">
      <c r="A217" s="881"/>
      <c r="B217" s="868"/>
      <c r="C217" s="868"/>
      <c r="D217" s="882"/>
      <c r="E217" s="881"/>
      <c r="F217" s="868"/>
      <c r="G217" s="868"/>
      <c r="H217" s="882"/>
    </row>
    <row r="218" spans="1:8" ht="15" customHeight="1" x14ac:dyDescent="0.25">
      <c r="A218" s="881"/>
      <c r="B218" s="868"/>
      <c r="C218" s="868"/>
      <c r="D218" s="882"/>
      <c r="E218" s="881"/>
      <c r="F218" s="868"/>
      <c r="G218" s="868"/>
      <c r="H218" s="882"/>
    </row>
    <row r="219" spans="1:8" ht="15" customHeight="1" x14ac:dyDescent="0.25">
      <c r="A219" s="881"/>
      <c r="B219" s="868"/>
      <c r="C219" s="868"/>
      <c r="D219" s="882"/>
      <c r="E219" s="881"/>
      <c r="F219" s="868"/>
      <c r="G219" s="868"/>
      <c r="H219" s="882"/>
    </row>
    <row r="220" spans="1:8" ht="15" customHeight="1" x14ac:dyDescent="0.25">
      <c r="A220" s="883"/>
      <c r="B220" s="884"/>
      <c r="C220" s="884"/>
      <c r="D220" s="885"/>
      <c r="E220" s="883"/>
      <c r="F220" s="884"/>
      <c r="G220" s="884"/>
      <c r="H220" s="885"/>
    </row>
    <row r="221" spans="1:8" x14ac:dyDescent="0.25">
      <c r="A221" s="889"/>
      <c r="B221" s="890"/>
      <c r="C221" s="893" t="s">
        <v>445</v>
      </c>
      <c r="D221" s="894"/>
      <c r="E221" s="894"/>
      <c r="F221" s="894"/>
      <c r="G221" s="894"/>
      <c r="H221" s="895" t="s">
        <v>488</v>
      </c>
    </row>
    <row r="222" spans="1:8" x14ac:dyDescent="0.25">
      <c r="A222" s="891"/>
      <c r="B222" s="892"/>
      <c r="C222" s="896" t="s">
        <v>458</v>
      </c>
      <c r="D222" s="897"/>
      <c r="E222" s="897"/>
      <c r="F222" s="897"/>
      <c r="G222" s="897"/>
      <c r="H222" s="895"/>
    </row>
    <row r="223" spans="1:8" x14ac:dyDescent="0.25">
      <c r="A223" s="891"/>
      <c r="B223" s="892"/>
      <c r="C223" s="898"/>
      <c r="D223" s="899"/>
      <c r="E223" s="899"/>
      <c r="F223" s="899"/>
      <c r="G223" s="899"/>
      <c r="H223" s="895"/>
    </row>
    <row r="224" spans="1:8" ht="30" customHeight="1" x14ac:dyDescent="0.25">
      <c r="A224" s="869" t="s">
        <v>459</v>
      </c>
      <c r="B224" s="870"/>
      <c r="C224" s="870"/>
      <c r="D224" s="870"/>
      <c r="E224" s="870"/>
      <c r="F224" s="870"/>
      <c r="G224" s="870"/>
      <c r="H224" s="871"/>
    </row>
    <row r="225" spans="1:8" ht="18" x14ac:dyDescent="0.35">
      <c r="A225" s="872" t="s">
        <v>489</v>
      </c>
      <c r="B225" s="873"/>
      <c r="C225" s="873"/>
      <c r="D225" s="874"/>
      <c r="E225" s="875" t="s">
        <v>490</v>
      </c>
      <c r="F225" s="876"/>
      <c r="G225" s="876"/>
      <c r="H225" s="877"/>
    </row>
    <row r="226" spans="1:8" ht="15" customHeight="1" x14ac:dyDescent="0.25">
      <c r="A226" s="878"/>
      <c r="B226" s="879"/>
      <c r="C226" s="879"/>
      <c r="D226" s="880"/>
      <c r="E226" s="878"/>
      <c r="F226" s="879"/>
      <c r="G226" s="879"/>
      <c r="H226" s="880"/>
    </row>
    <row r="227" spans="1:8" ht="15" customHeight="1" x14ac:dyDescent="0.25">
      <c r="A227" s="881"/>
      <c r="B227" s="868"/>
      <c r="C227" s="868"/>
      <c r="D227" s="882"/>
      <c r="E227" s="881"/>
      <c r="F227" s="868"/>
      <c r="G227" s="868"/>
      <c r="H227" s="882"/>
    </row>
    <row r="228" spans="1:8" ht="15" customHeight="1" x14ac:dyDescent="0.25">
      <c r="A228" s="881"/>
      <c r="B228" s="868"/>
      <c r="C228" s="868"/>
      <c r="D228" s="882"/>
      <c r="E228" s="881"/>
      <c r="F228" s="868"/>
      <c r="G228" s="868"/>
      <c r="H228" s="882"/>
    </row>
    <row r="229" spans="1:8" ht="15" customHeight="1" x14ac:dyDescent="0.25">
      <c r="A229" s="881"/>
      <c r="B229" s="868"/>
      <c r="C229" s="868"/>
      <c r="D229" s="882"/>
      <c r="E229" s="881"/>
      <c r="F229" s="868"/>
      <c r="G229" s="868"/>
      <c r="H229" s="882"/>
    </row>
    <row r="230" spans="1:8" ht="15" customHeight="1" x14ac:dyDescent="0.25">
      <c r="A230" s="881"/>
      <c r="B230" s="868"/>
      <c r="C230" s="868"/>
      <c r="D230" s="882"/>
      <c r="E230" s="881"/>
      <c r="F230" s="868"/>
      <c r="G230" s="868"/>
      <c r="H230" s="882"/>
    </row>
    <row r="231" spans="1:8" ht="15" customHeight="1" x14ac:dyDescent="0.25">
      <c r="A231" s="881"/>
      <c r="B231" s="868"/>
      <c r="C231" s="868"/>
      <c r="D231" s="882"/>
      <c r="E231" s="881"/>
      <c r="F231" s="868"/>
      <c r="G231" s="868"/>
      <c r="H231" s="882"/>
    </row>
    <row r="232" spans="1:8" ht="15" customHeight="1" x14ac:dyDescent="0.25">
      <c r="A232" s="881"/>
      <c r="B232" s="868"/>
      <c r="C232" s="868"/>
      <c r="D232" s="882"/>
      <c r="E232" s="881"/>
      <c r="F232" s="868"/>
      <c r="G232" s="868"/>
      <c r="H232" s="882"/>
    </row>
    <row r="233" spans="1:8" ht="15" customHeight="1" x14ac:dyDescent="0.25">
      <c r="A233" s="881"/>
      <c r="B233" s="868"/>
      <c r="C233" s="868"/>
      <c r="D233" s="882"/>
      <c r="E233" s="881"/>
      <c r="F233" s="868"/>
      <c r="G233" s="868"/>
      <c r="H233" s="882"/>
    </row>
    <row r="234" spans="1:8" ht="15" customHeight="1" x14ac:dyDescent="0.25">
      <c r="A234" s="881"/>
      <c r="B234" s="868"/>
      <c r="C234" s="868"/>
      <c r="D234" s="882"/>
      <c r="E234" s="881"/>
      <c r="F234" s="868"/>
      <c r="G234" s="868"/>
      <c r="H234" s="882"/>
    </row>
    <row r="235" spans="1:8" ht="15" customHeight="1" x14ac:dyDescent="0.25">
      <c r="A235" s="881"/>
      <c r="B235" s="868"/>
      <c r="C235" s="868"/>
      <c r="D235" s="882"/>
      <c r="E235" s="881"/>
      <c r="F235" s="868"/>
      <c r="G235" s="868"/>
      <c r="H235" s="882"/>
    </row>
    <row r="236" spans="1:8" ht="15" customHeight="1" x14ac:dyDescent="0.25">
      <c r="A236" s="881"/>
      <c r="B236" s="868"/>
      <c r="C236" s="868"/>
      <c r="D236" s="882"/>
      <c r="E236" s="881"/>
      <c r="F236" s="868"/>
      <c r="G236" s="868"/>
      <c r="H236" s="882"/>
    </row>
    <row r="237" spans="1:8" ht="15" customHeight="1" x14ac:dyDescent="0.25">
      <c r="A237" s="881"/>
      <c r="B237" s="868"/>
      <c r="C237" s="868"/>
      <c r="D237" s="882"/>
      <c r="E237" s="881"/>
      <c r="F237" s="868"/>
      <c r="G237" s="868"/>
      <c r="H237" s="882"/>
    </row>
    <row r="238" spans="1:8" ht="15" customHeight="1" x14ac:dyDescent="0.25">
      <c r="A238" s="881"/>
      <c r="B238" s="868"/>
      <c r="C238" s="868"/>
      <c r="D238" s="882"/>
      <c r="E238" s="881"/>
      <c r="F238" s="868"/>
      <c r="G238" s="868"/>
      <c r="H238" s="882"/>
    </row>
    <row r="239" spans="1:8" ht="15" customHeight="1" x14ac:dyDescent="0.25">
      <c r="A239" s="881"/>
      <c r="B239" s="868"/>
      <c r="C239" s="868"/>
      <c r="D239" s="882"/>
      <c r="E239" s="881"/>
      <c r="F239" s="868"/>
      <c r="G239" s="868"/>
      <c r="H239" s="882"/>
    </row>
    <row r="240" spans="1:8" ht="15" customHeight="1" x14ac:dyDescent="0.25">
      <c r="A240" s="881"/>
      <c r="B240" s="868"/>
      <c r="C240" s="868"/>
      <c r="D240" s="882"/>
      <c r="E240" s="881"/>
      <c r="F240" s="868"/>
      <c r="G240" s="868"/>
      <c r="H240" s="882"/>
    </row>
    <row r="241" spans="1:8" ht="15" customHeight="1" x14ac:dyDescent="0.25">
      <c r="A241" s="883"/>
      <c r="B241" s="884"/>
      <c r="C241" s="884"/>
      <c r="D241" s="885"/>
      <c r="E241" s="883"/>
      <c r="F241" s="884"/>
      <c r="G241" s="884"/>
      <c r="H241" s="885"/>
    </row>
    <row r="242" spans="1:8" ht="18" x14ac:dyDescent="0.25">
      <c r="A242" s="886" t="s">
        <v>491</v>
      </c>
      <c r="B242" s="887"/>
      <c r="C242" s="887"/>
      <c r="D242" s="888"/>
      <c r="E242" s="875" t="s">
        <v>492</v>
      </c>
      <c r="F242" s="876"/>
      <c r="G242" s="876"/>
      <c r="H242" s="877"/>
    </row>
    <row r="243" spans="1:8" ht="15" customHeight="1" x14ac:dyDescent="0.25">
      <c r="A243" s="878"/>
      <c r="B243" s="879"/>
      <c r="C243" s="879"/>
      <c r="D243" s="880"/>
      <c r="E243" s="878"/>
      <c r="F243" s="879"/>
      <c r="G243" s="879"/>
      <c r="H243" s="880"/>
    </row>
    <row r="244" spans="1:8" ht="15" customHeight="1" x14ac:dyDescent="0.25">
      <c r="A244" s="881"/>
      <c r="B244" s="868"/>
      <c r="C244" s="868"/>
      <c r="D244" s="882"/>
      <c r="E244" s="881"/>
      <c r="F244" s="868"/>
      <c r="G244" s="868"/>
      <c r="H244" s="882"/>
    </row>
    <row r="245" spans="1:8" ht="15" customHeight="1" x14ac:dyDescent="0.25">
      <c r="A245" s="881"/>
      <c r="B245" s="868"/>
      <c r="C245" s="868"/>
      <c r="D245" s="882"/>
      <c r="E245" s="881"/>
      <c r="F245" s="868"/>
      <c r="G245" s="868"/>
      <c r="H245" s="882"/>
    </row>
    <row r="246" spans="1:8" ht="15" customHeight="1" x14ac:dyDescent="0.25">
      <c r="A246" s="881"/>
      <c r="B246" s="868"/>
      <c r="C246" s="868"/>
      <c r="D246" s="882"/>
      <c r="E246" s="881"/>
      <c r="F246" s="868"/>
      <c r="G246" s="868"/>
      <c r="H246" s="882"/>
    </row>
    <row r="247" spans="1:8" ht="15" customHeight="1" x14ac:dyDescent="0.25">
      <c r="A247" s="881"/>
      <c r="B247" s="868"/>
      <c r="C247" s="868"/>
      <c r="D247" s="882"/>
      <c r="E247" s="881"/>
      <c r="F247" s="868"/>
      <c r="G247" s="868"/>
      <c r="H247" s="882"/>
    </row>
    <row r="248" spans="1:8" ht="15" customHeight="1" x14ac:dyDescent="0.25">
      <c r="A248" s="881"/>
      <c r="B248" s="868"/>
      <c r="C248" s="868"/>
      <c r="D248" s="882"/>
      <c r="E248" s="881"/>
      <c r="F248" s="868"/>
      <c r="G248" s="868"/>
      <c r="H248" s="882"/>
    </row>
    <row r="249" spans="1:8" ht="15" customHeight="1" x14ac:dyDescent="0.25">
      <c r="A249" s="881"/>
      <c r="B249" s="868"/>
      <c r="C249" s="868"/>
      <c r="D249" s="882"/>
      <c r="E249" s="881"/>
      <c r="F249" s="868"/>
      <c r="G249" s="868"/>
      <c r="H249" s="882"/>
    </row>
    <row r="250" spans="1:8" ht="15" customHeight="1" x14ac:dyDescent="0.25">
      <c r="A250" s="881"/>
      <c r="B250" s="868"/>
      <c r="C250" s="868"/>
      <c r="D250" s="882"/>
      <c r="E250" s="881"/>
      <c r="F250" s="868"/>
      <c r="G250" s="868"/>
      <c r="H250" s="882"/>
    </row>
    <row r="251" spans="1:8" ht="15" customHeight="1" x14ac:dyDescent="0.25">
      <c r="A251" s="881"/>
      <c r="B251" s="868"/>
      <c r="C251" s="868"/>
      <c r="D251" s="882"/>
      <c r="E251" s="881"/>
      <c r="F251" s="868"/>
      <c r="G251" s="868"/>
      <c r="H251" s="882"/>
    </row>
    <row r="252" spans="1:8" ht="15" customHeight="1" x14ac:dyDescent="0.25">
      <c r="A252" s="881"/>
      <c r="B252" s="868"/>
      <c r="C252" s="868"/>
      <c r="D252" s="882"/>
      <c r="E252" s="881"/>
      <c r="F252" s="868"/>
      <c r="G252" s="868"/>
      <c r="H252" s="882"/>
    </row>
    <row r="253" spans="1:8" ht="15" customHeight="1" x14ac:dyDescent="0.25">
      <c r="A253" s="881"/>
      <c r="B253" s="868"/>
      <c r="C253" s="868"/>
      <c r="D253" s="882"/>
      <c r="E253" s="881"/>
      <c r="F253" s="868"/>
      <c r="G253" s="868"/>
      <c r="H253" s="882"/>
    </row>
    <row r="254" spans="1:8" ht="15" customHeight="1" x14ac:dyDescent="0.25">
      <c r="A254" s="881"/>
      <c r="B254" s="868"/>
      <c r="C254" s="868"/>
      <c r="D254" s="882"/>
      <c r="E254" s="881"/>
      <c r="F254" s="868"/>
      <c r="G254" s="868"/>
      <c r="H254" s="882"/>
    </row>
    <row r="255" spans="1:8" ht="15" customHeight="1" x14ac:dyDescent="0.25">
      <c r="A255" s="881"/>
      <c r="B255" s="868"/>
      <c r="C255" s="868"/>
      <c r="D255" s="882"/>
      <c r="E255" s="881"/>
      <c r="F255" s="868"/>
      <c r="G255" s="868"/>
      <c r="H255" s="882"/>
    </row>
    <row r="256" spans="1:8" ht="15" customHeight="1" x14ac:dyDescent="0.25">
      <c r="A256" s="881"/>
      <c r="B256" s="868"/>
      <c r="C256" s="868"/>
      <c r="D256" s="882"/>
      <c r="E256" s="881"/>
      <c r="F256" s="868"/>
      <c r="G256" s="868"/>
      <c r="H256" s="882"/>
    </row>
    <row r="257" spans="1:8" ht="15" customHeight="1" x14ac:dyDescent="0.25">
      <c r="A257" s="881"/>
      <c r="B257" s="868"/>
      <c r="C257" s="868"/>
      <c r="D257" s="882"/>
      <c r="E257" s="881"/>
      <c r="F257" s="868"/>
      <c r="G257" s="868"/>
      <c r="H257" s="882"/>
    </row>
    <row r="258" spans="1:8" ht="15" customHeight="1" x14ac:dyDescent="0.25">
      <c r="A258" s="883"/>
      <c r="B258" s="884"/>
      <c r="C258" s="884"/>
      <c r="D258" s="885"/>
      <c r="E258" s="883"/>
      <c r="F258" s="884"/>
      <c r="G258" s="884"/>
      <c r="H258" s="885"/>
    </row>
    <row r="259" spans="1:8" ht="18" x14ac:dyDescent="0.35">
      <c r="A259" s="872" t="s">
        <v>493</v>
      </c>
      <c r="B259" s="873"/>
      <c r="C259" s="873"/>
      <c r="D259" s="873"/>
      <c r="E259" s="875" t="s">
        <v>494</v>
      </c>
      <c r="F259" s="876"/>
      <c r="G259" s="876"/>
      <c r="H259" s="877"/>
    </row>
    <row r="260" spans="1:8" ht="15" customHeight="1" x14ac:dyDescent="0.25">
      <c r="A260" s="878" t="s">
        <v>466</v>
      </c>
      <c r="B260" s="879"/>
      <c r="C260" s="879"/>
      <c r="D260" s="880"/>
      <c r="E260" s="878"/>
      <c r="F260" s="879"/>
      <c r="G260" s="879"/>
      <c r="H260" s="880"/>
    </row>
    <row r="261" spans="1:8" ht="15" customHeight="1" x14ac:dyDescent="0.25">
      <c r="A261" s="881"/>
      <c r="B261" s="868"/>
      <c r="C261" s="868"/>
      <c r="D261" s="882"/>
      <c r="E261" s="881"/>
      <c r="F261" s="868"/>
      <c r="G261" s="868"/>
      <c r="H261" s="882"/>
    </row>
    <row r="262" spans="1:8" ht="15" customHeight="1" x14ac:dyDescent="0.25">
      <c r="A262" s="881"/>
      <c r="B262" s="868"/>
      <c r="C262" s="868"/>
      <c r="D262" s="882"/>
      <c r="E262" s="881"/>
      <c r="F262" s="868"/>
      <c r="G262" s="868"/>
      <c r="H262" s="882"/>
    </row>
    <row r="263" spans="1:8" ht="15" customHeight="1" x14ac:dyDescent="0.25">
      <c r="A263" s="881"/>
      <c r="B263" s="868"/>
      <c r="C263" s="868"/>
      <c r="D263" s="882"/>
      <c r="E263" s="881"/>
      <c r="F263" s="868"/>
      <c r="G263" s="868"/>
      <c r="H263" s="882"/>
    </row>
    <row r="264" spans="1:8" ht="15" customHeight="1" x14ac:dyDescent="0.25">
      <c r="A264" s="881"/>
      <c r="B264" s="868"/>
      <c r="C264" s="868"/>
      <c r="D264" s="882"/>
      <c r="E264" s="881"/>
      <c r="F264" s="868"/>
      <c r="G264" s="868"/>
      <c r="H264" s="882"/>
    </row>
    <row r="265" spans="1:8" ht="15" customHeight="1" x14ac:dyDescent="0.25">
      <c r="A265" s="881"/>
      <c r="B265" s="868"/>
      <c r="C265" s="868"/>
      <c r="D265" s="882"/>
      <c r="E265" s="881"/>
      <c r="F265" s="868"/>
      <c r="G265" s="868"/>
      <c r="H265" s="882"/>
    </row>
    <row r="266" spans="1:8" ht="15" customHeight="1" x14ac:dyDescent="0.25">
      <c r="A266" s="881"/>
      <c r="B266" s="868"/>
      <c r="C266" s="868"/>
      <c r="D266" s="882"/>
      <c r="E266" s="881"/>
      <c r="F266" s="868"/>
      <c r="G266" s="868"/>
      <c r="H266" s="882"/>
    </row>
    <row r="267" spans="1:8" ht="15" customHeight="1" x14ac:dyDescent="0.25">
      <c r="A267" s="881"/>
      <c r="B267" s="868"/>
      <c r="C267" s="868"/>
      <c r="D267" s="882"/>
      <c r="E267" s="881"/>
      <c r="F267" s="868"/>
      <c r="G267" s="868"/>
      <c r="H267" s="882"/>
    </row>
    <row r="268" spans="1:8" ht="15" customHeight="1" x14ac:dyDescent="0.25">
      <c r="A268" s="881"/>
      <c r="B268" s="868"/>
      <c r="C268" s="868"/>
      <c r="D268" s="882"/>
      <c r="E268" s="881"/>
      <c r="F268" s="868"/>
      <c r="G268" s="868"/>
      <c r="H268" s="882"/>
    </row>
    <row r="269" spans="1:8" ht="15" customHeight="1" x14ac:dyDescent="0.25">
      <c r="A269" s="881"/>
      <c r="B269" s="868"/>
      <c r="C269" s="868"/>
      <c r="D269" s="882"/>
      <c r="E269" s="881"/>
      <c r="F269" s="868"/>
      <c r="G269" s="868"/>
      <c r="H269" s="882"/>
    </row>
    <row r="270" spans="1:8" ht="15" customHeight="1" x14ac:dyDescent="0.25">
      <c r="A270" s="881"/>
      <c r="B270" s="868"/>
      <c r="C270" s="868"/>
      <c r="D270" s="882"/>
      <c r="E270" s="881"/>
      <c r="F270" s="868"/>
      <c r="G270" s="868"/>
      <c r="H270" s="882"/>
    </row>
    <row r="271" spans="1:8" ht="15" customHeight="1" x14ac:dyDescent="0.25">
      <c r="A271" s="881"/>
      <c r="B271" s="868"/>
      <c r="C271" s="868"/>
      <c r="D271" s="882"/>
      <c r="E271" s="881"/>
      <c r="F271" s="868"/>
      <c r="G271" s="868"/>
      <c r="H271" s="882"/>
    </row>
    <row r="272" spans="1:8" ht="15" customHeight="1" x14ac:dyDescent="0.25">
      <c r="A272" s="881"/>
      <c r="B272" s="868"/>
      <c r="C272" s="868"/>
      <c r="D272" s="882"/>
      <c r="E272" s="881"/>
      <c r="F272" s="868"/>
      <c r="G272" s="868"/>
      <c r="H272" s="882"/>
    </row>
    <row r="273" spans="1:8" ht="15" customHeight="1" x14ac:dyDescent="0.25">
      <c r="A273" s="881"/>
      <c r="B273" s="868"/>
      <c r="C273" s="868"/>
      <c r="D273" s="882"/>
      <c r="E273" s="881"/>
      <c r="F273" s="868"/>
      <c r="G273" s="868"/>
      <c r="H273" s="882"/>
    </row>
    <row r="274" spans="1:8" ht="15" customHeight="1" x14ac:dyDescent="0.25">
      <c r="A274" s="881"/>
      <c r="B274" s="868"/>
      <c r="C274" s="868"/>
      <c r="D274" s="882"/>
      <c r="E274" s="881"/>
      <c r="F274" s="868"/>
      <c r="G274" s="868"/>
      <c r="H274" s="882"/>
    </row>
    <row r="275" spans="1:8" ht="15" customHeight="1" x14ac:dyDescent="0.25">
      <c r="A275" s="883"/>
      <c r="B275" s="884"/>
      <c r="C275" s="884"/>
      <c r="D275" s="885"/>
      <c r="E275" s="883"/>
      <c r="F275" s="884"/>
      <c r="G275" s="884"/>
      <c r="H275" s="885"/>
    </row>
    <row r="276" spans="1:8" x14ac:dyDescent="0.25">
      <c r="A276" s="889"/>
      <c r="B276" s="890"/>
      <c r="C276" s="893" t="s">
        <v>445</v>
      </c>
      <c r="D276" s="894"/>
      <c r="E276" s="894"/>
      <c r="F276" s="894"/>
      <c r="G276" s="894"/>
      <c r="H276" s="895" t="s">
        <v>495</v>
      </c>
    </row>
    <row r="277" spans="1:8" x14ac:dyDescent="0.25">
      <c r="A277" s="891"/>
      <c r="B277" s="892"/>
      <c r="C277" s="896" t="s">
        <v>458</v>
      </c>
      <c r="D277" s="897"/>
      <c r="E277" s="897"/>
      <c r="F277" s="897"/>
      <c r="G277" s="897"/>
      <c r="H277" s="895"/>
    </row>
    <row r="278" spans="1:8" x14ac:dyDescent="0.25">
      <c r="A278" s="891"/>
      <c r="B278" s="892"/>
      <c r="C278" s="898"/>
      <c r="D278" s="899"/>
      <c r="E278" s="899"/>
      <c r="F278" s="899"/>
      <c r="G278" s="899"/>
      <c r="H278" s="895"/>
    </row>
    <row r="279" spans="1:8" ht="30" customHeight="1" x14ac:dyDescent="0.25">
      <c r="A279" s="869" t="s">
        <v>459</v>
      </c>
      <c r="B279" s="870"/>
      <c r="C279" s="870"/>
      <c r="D279" s="870"/>
      <c r="E279" s="870"/>
      <c r="F279" s="870"/>
      <c r="G279" s="870"/>
      <c r="H279" s="871"/>
    </row>
    <row r="280" spans="1:8" ht="18" x14ac:dyDescent="0.35">
      <c r="A280" s="872" t="s">
        <v>496</v>
      </c>
      <c r="B280" s="873"/>
      <c r="C280" s="873"/>
      <c r="D280" s="874"/>
      <c r="E280" s="875" t="s">
        <v>497</v>
      </c>
      <c r="F280" s="876"/>
      <c r="G280" s="876"/>
      <c r="H280" s="877"/>
    </row>
    <row r="281" spans="1:8" ht="15" customHeight="1" x14ac:dyDescent="0.25">
      <c r="A281" s="878"/>
      <c r="B281" s="879"/>
      <c r="C281" s="879"/>
      <c r="D281" s="880"/>
      <c r="E281" s="878"/>
      <c r="F281" s="879"/>
      <c r="G281" s="879"/>
      <c r="H281" s="880"/>
    </row>
    <row r="282" spans="1:8" ht="15" customHeight="1" x14ac:dyDescent="0.25">
      <c r="A282" s="881"/>
      <c r="B282" s="868"/>
      <c r="C282" s="868"/>
      <c r="D282" s="882"/>
      <c r="E282" s="881"/>
      <c r="F282" s="868"/>
      <c r="G282" s="868"/>
      <c r="H282" s="882"/>
    </row>
    <row r="283" spans="1:8" ht="15" customHeight="1" x14ac:dyDescent="0.25">
      <c r="A283" s="881"/>
      <c r="B283" s="868"/>
      <c r="C283" s="868"/>
      <c r="D283" s="882"/>
      <c r="E283" s="881"/>
      <c r="F283" s="868"/>
      <c r="G283" s="868"/>
      <c r="H283" s="882"/>
    </row>
    <row r="284" spans="1:8" ht="15" customHeight="1" x14ac:dyDescent="0.25">
      <c r="A284" s="881"/>
      <c r="B284" s="868"/>
      <c r="C284" s="868"/>
      <c r="D284" s="882"/>
      <c r="E284" s="881"/>
      <c r="F284" s="868"/>
      <c r="G284" s="868"/>
      <c r="H284" s="882"/>
    </row>
    <row r="285" spans="1:8" ht="15" customHeight="1" x14ac:dyDescent="0.25">
      <c r="A285" s="881"/>
      <c r="B285" s="868"/>
      <c r="C285" s="868"/>
      <c r="D285" s="882"/>
      <c r="E285" s="881"/>
      <c r="F285" s="868"/>
      <c r="G285" s="868"/>
      <c r="H285" s="882"/>
    </row>
    <row r="286" spans="1:8" ht="15" customHeight="1" x14ac:dyDescent="0.25">
      <c r="A286" s="881"/>
      <c r="B286" s="868"/>
      <c r="C286" s="868"/>
      <c r="D286" s="882"/>
      <c r="E286" s="881"/>
      <c r="F286" s="868"/>
      <c r="G286" s="868"/>
      <c r="H286" s="882"/>
    </row>
    <row r="287" spans="1:8" ht="15" customHeight="1" x14ac:dyDescent="0.25">
      <c r="A287" s="881"/>
      <c r="B287" s="868"/>
      <c r="C287" s="868"/>
      <c r="D287" s="882"/>
      <c r="E287" s="881"/>
      <c r="F287" s="868"/>
      <c r="G287" s="868"/>
      <c r="H287" s="882"/>
    </row>
    <row r="288" spans="1:8" ht="15" customHeight="1" x14ac:dyDescent="0.25">
      <c r="A288" s="881"/>
      <c r="B288" s="868"/>
      <c r="C288" s="868"/>
      <c r="D288" s="882"/>
      <c r="E288" s="881"/>
      <c r="F288" s="868"/>
      <c r="G288" s="868"/>
      <c r="H288" s="882"/>
    </row>
    <row r="289" spans="1:8" ht="15" customHeight="1" x14ac:dyDescent="0.25">
      <c r="A289" s="881"/>
      <c r="B289" s="868"/>
      <c r="C289" s="868"/>
      <c r="D289" s="882"/>
      <c r="E289" s="881"/>
      <c r="F289" s="868"/>
      <c r="G289" s="868"/>
      <c r="H289" s="882"/>
    </row>
    <row r="290" spans="1:8" ht="15" customHeight="1" x14ac:dyDescent="0.25">
      <c r="A290" s="881"/>
      <c r="B290" s="868"/>
      <c r="C290" s="868"/>
      <c r="D290" s="882"/>
      <c r="E290" s="881"/>
      <c r="F290" s="868"/>
      <c r="G290" s="868"/>
      <c r="H290" s="882"/>
    </row>
    <row r="291" spans="1:8" ht="15" customHeight="1" x14ac:dyDescent="0.25">
      <c r="A291" s="881"/>
      <c r="B291" s="868"/>
      <c r="C291" s="868"/>
      <c r="D291" s="882"/>
      <c r="E291" s="881"/>
      <c r="F291" s="868"/>
      <c r="G291" s="868"/>
      <c r="H291" s="882"/>
    </row>
    <row r="292" spans="1:8" ht="15" customHeight="1" x14ac:dyDescent="0.25">
      <c r="A292" s="881"/>
      <c r="B292" s="868"/>
      <c r="C292" s="868"/>
      <c r="D292" s="882"/>
      <c r="E292" s="881"/>
      <c r="F292" s="868"/>
      <c r="G292" s="868"/>
      <c r="H292" s="882"/>
    </row>
    <row r="293" spans="1:8" ht="15" customHeight="1" x14ac:dyDescent="0.25">
      <c r="A293" s="881"/>
      <c r="B293" s="868"/>
      <c r="C293" s="868"/>
      <c r="D293" s="882"/>
      <c r="E293" s="881"/>
      <c r="F293" s="868"/>
      <c r="G293" s="868"/>
      <c r="H293" s="882"/>
    </row>
    <row r="294" spans="1:8" ht="15" customHeight="1" x14ac:dyDescent="0.25">
      <c r="A294" s="881"/>
      <c r="B294" s="868"/>
      <c r="C294" s="868"/>
      <c r="D294" s="882"/>
      <c r="E294" s="881"/>
      <c r="F294" s="868"/>
      <c r="G294" s="868"/>
      <c r="H294" s="882"/>
    </row>
    <row r="295" spans="1:8" ht="15" customHeight="1" x14ac:dyDescent="0.25">
      <c r="A295" s="881"/>
      <c r="B295" s="868"/>
      <c r="C295" s="868"/>
      <c r="D295" s="882"/>
      <c r="E295" s="881"/>
      <c r="F295" s="868"/>
      <c r="G295" s="868"/>
      <c r="H295" s="882"/>
    </row>
    <row r="296" spans="1:8" ht="15" customHeight="1" x14ac:dyDescent="0.25">
      <c r="A296" s="883"/>
      <c r="B296" s="884"/>
      <c r="C296" s="884"/>
      <c r="D296" s="885"/>
      <c r="E296" s="883"/>
      <c r="F296" s="884"/>
      <c r="G296" s="884"/>
      <c r="H296" s="885"/>
    </row>
    <row r="297" spans="1:8" ht="18" x14ac:dyDescent="0.25">
      <c r="A297" s="886" t="s">
        <v>498</v>
      </c>
      <c r="B297" s="887"/>
      <c r="C297" s="887"/>
      <c r="D297" s="888"/>
      <c r="E297" s="875" t="s">
        <v>499</v>
      </c>
      <c r="F297" s="876"/>
      <c r="G297" s="876"/>
      <c r="H297" s="877"/>
    </row>
    <row r="298" spans="1:8" ht="15" customHeight="1" x14ac:dyDescent="0.25">
      <c r="A298" s="867"/>
      <c r="B298" s="867"/>
      <c r="C298" s="867"/>
      <c r="D298" s="867"/>
      <c r="E298" s="867"/>
      <c r="F298" s="867"/>
      <c r="G298" s="867"/>
      <c r="H298" s="867"/>
    </row>
    <row r="299" spans="1:8" ht="15" customHeight="1" x14ac:dyDescent="0.25">
      <c r="A299" s="867"/>
      <c r="B299" s="867"/>
      <c r="C299" s="867"/>
      <c r="D299" s="867"/>
      <c r="E299" s="867"/>
      <c r="F299" s="867"/>
      <c r="G299" s="867"/>
      <c r="H299" s="867"/>
    </row>
    <row r="300" spans="1:8" ht="15" customHeight="1" x14ac:dyDescent="0.25">
      <c r="A300" s="867"/>
      <c r="B300" s="867"/>
      <c r="C300" s="867"/>
      <c r="D300" s="867"/>
      <c r="E300" s="867"/>
      <c r="F300" s="867"/>
      <c r="G300" s="867"/>
      <c r="H300" s="867"/>
    </row>
    <row r="301" spans="1:8" ht="15" customHeight="1" x14ac:dyDescent="0.25">
      <c r="A301" s="867"/>
      <c r="B301" s="867"/>
      <c r="C301" s="867"/>
      <c r="D301" s="867"/>
      <c r="E301" s="867"/>
      <c r="F301" s="867"/>
      <c r="G301" s="867"/>
      <c r="H301" s="867"/>
    </row>
    <row r="302" spans="1:8" ht="15" customHeight="1" x14ac:dyDescent="0.25">
      <c r="A302" s="867"/>
      <c r="B302" s="867"/>
      <c r="C302" s="867"/>
      <c r="D302" s="867"/>
      <c r="E302" s="867"/>
      <c r="F302" s="867"/>
      <c r="G302" s="867"/>
      <c r="H302" s="867"/>
    </row>
    <row r="303" spans="1:8" ht="15" customHeight="1" x14ac:dyDescent="0.25">
      <c r="A303" s="867"/>
      <c r="B303" s="867"/>
      <c r="C303" s="867"/>
      <c r="D303" s="867"/>
      <c r="E303" s="867"/>
      <c r="F303" s="867"/>
      <c r="G303" s="867"/>
      <c r="H303" s="867"/>
    </row>
    <row r="304" spans="1:8" ht="15" customHeight="1" x14ac:dyDescent="0.25">
      <c r="A304" s="867"/>
      <c r="B304" s="867"/>
      <c r="C304" s="867"/>
      <c r="D304" s="867"/>
      <c r="E304" s="867"/>
      <c r="F304" s="867"/>
      <c r="G304" s="867"/>
      <c r="H304" s="867"/>
    </row>
    <row r="305" spans="1:8" ht="15" customHeight="1" x14ac:dyDescent="0.25">
      <c r="A305" s="867"/>
      <c r="B305" s="867"/>
      <c r="C305" s="867"/>
      <c r="D305" s="867"/>
      <c r="E305" s="867"/>
      <c r="F305" s="867"/>
      <c r="G305" s="867"/>
      <c r="H305" s="867"/>
    </row>
    <row r="306" spans="1:8" ht="15" customHeight="1" x14ac:dyDescent="0.25">
      <c r="A306" s="867"/>
      <c r="B306" s="867"/>
      <c r="C306" s="867"/>
      <c r="D306" s="867"/>
      <c r="E306" s="867"/>
      <c r="F306" s="867"/>
      <c r="G306" s="867"/>
      <c r="H306" s="867"/>
    </row>
    <row r="307" spans="1:8" ht="15" customHeight="1" x14ac:dyDescent="0.25">
      <c r="A307" s="867"/>
      <c r="B307" s="867"/>
      <c r="C307" s="867"/>
      <c r="D307" s="867"/>
      <c r="E307" s="867"/>
      <c r="F307" s="867"/>
      <c r="G307" s="867"/>
      <c r="H307" s="867"/>
    </row>
    <row r="308" spans="1:8" ht="15" customHeight="1" x14ac:dyDescent="0.25">
      <c r="A308" s="867"/>
      <c r="B308" s="867"/>
      <c r="C308" s="867"/>
      <c r="D308" s="867"/>
      <c r="E308" s="867"/>
      <c r="F308" s="867"/>
      <c r="G308" s="867"/>
      <c r="H308" s="867"/>
    </row>
    <row r="309" spans="1:8" ht="15" customHeight="1" x14ac:dyDescent="0.25">
      <c r="A309" s="867"/>
      <c r="B309" s="867"/>
      <c r="C309" s="867"/>
      <c r="D309" s="867"/>
      <c r="E309" s="867"/>
      <c r="F309" s="867"/>
      <c r="G309" s="867"/>
      <c r="H309" s="867"/>
    </row>
    <row r="310" spans="1:8" ht="15" customHeight="1" x14ac:dyDescent="0.25">
      <c r="A310" s="867"/>
      <c r="B310" s="867"/>
      <c r="C310" s="867"/>
      <c r="D310" s="867"/>
      <c r="E310" s="867"/>
      <c r="F310" s="867"/>
      <c r="G310" s="867"/>
      <c r="H310" s="867"/>
    </row>
    <row r="311" spans="1:8" ht="15" customHeight="1" x14ac:dyDescent="0.25">
      <c r="A311" s="867"/>
      <c r="B311" s="867"/>
      <c r="C311" s="867"/>
      <c r="D311" s="867"/>
      <c r="E311" s="867"/>
      <c r="F311" s="867"/>
      <c r="G311" s="867"/>
      <c r="H311" s="867"/>
    </row>
    <row r="312" spans="1:8" ht="15" customHeight="1" x14ac:dyDescent="0.25">
      <c r="A312" s="867"/>
      <c r="B312" s="867"/>
      <c r="C312" s="867"/>
      <c r="D312" s="867"/>
      <c r="E312" s="867"/>
      <c r="F312" s="867"/>
      <c r="G312" s="867"/>
      <c r="H312" s="867"/>
    </row>
    <row r="313" spans="1:8" ht="15" customHeight="1" x14ac:dyDescent="0.25">
      <c r="A313" s="867"/>
      <c r="B313" s="867"/>
      <c r="C313" s="867"/>
      <c r="D313" s="867"/>
      <c r="E313" s="867"/>
      <c r="F313" s="867"/>
      <c r="G313" s="867"/>
      <c r="H313" s="867"/>
    </row>
    <row r="314" spans="1:8" ht="18.75" customHeight="1" x14ac:dyDescent="0.25">
      <c r="A314" s="868" t="s">
        <v>466</v>
      </c>
      <c r="B314" s="868"/>
      <c r="C314" s="868"/>
      <c r="D314" s="868"/>
      <c r="E314" s="868"/>
      <c r="F314" s="868"/>
      <c r="G314" s="868"/>
      <c r="H314" s="868"/>
    </row>
    <row r="315" spans="1:8" ht="15" customHeight="1" x14ac:dyDescent="0.25">
      <c r="A315" s="868"/>
      <c r="B315" s="868"/>
      <c r="C315" s="868"/>
      <c r="D315" s="868"/>
      <c r="E315" s="868"/>
      <c r="F315" s="868"/>
      <c r="G315" s="868"/>
      <c r="H315" s="868"/>
    </row>
    <row r="316" spans="1:8" ht="15" customHeight="1" x14ac:dyDescent="0.25">
      <c r="A316" s="868"/>
      <c r="B316" s="868"/>
      <c r="C316" s="868"/>
      <c r="D316" s="868"/>
      <c r="E316" s="868"/>
      <c r="F316" s="868"/>
      <c r="G316" s="868"/>
      <c r="H316" s="868"/>
    </row>
    <row r="317" spans="1:8" ht="15" customHeight="1" x14ac:dyDescent="0.25">
      <c r="A317" s="868"/>
      <c r="B317" s="868"/>
      <c r="C317" s="868"/>
      <c r="D317" s="868"/>
      <c r="E317" s="868"/>
      <c r="F317" s="868"/>
      <c r="G317" s="868"/>
      <c r="H317" s="868"/>
    </row>
    <row r="318" spans="1:8" ht="15" customHeight="1" x14ac:dyDescent="0.25">
      <c r="A318" s="868"/>
      <c r="B318" s="868"/>
      <c r="C318" s="868"/>
      <c r="D318" s="868"/>
      <c r="E318" s="868"/>
      <c r="F318" s="868"/>
      <c r="G318" s="868"/>
      <c r="H318" s="868"/>
    </row>
    <row r="319" spans="1:8" ht="15" customHeight="1" x14ac:dyDescent="0.25">
      <c r="A319" s="868"/>
      <c r="B319" s="868"/>
      <c r="C319" s="868"/>
      <c r="D319" s="868"/>
      <c r="E319" s="868"/>
      <c r="F319" s="868"/>
      <c r="G319" s="868"/>
      <c r="H319" s="868"/>
    </row>
    <row r="320" spans="1:8" ht="15" customHeight="1" x14ac:dyDescent="0.25">
      <c r="A320" s="868"/>
      <c r="B320" s="868"/>
      <c r="C320" s="868"/>
      <c r="D320" s="868"/>
      <c r="E320" s="868"/>
      <c r="F320" s="868"/>
      <c r="G320" s="868"/>
      <c r="H320" s="868"/>
    </row>
    <row r="321" spans="1:8" ht="15" customHeight="1" x14ac:dyDescent="0.25">
      <c r="A321" s="868"/>
      <c r="B321" s="868"/>
      <c r="C321" s="868"/>
      <c r="D321" s="868"/>
      <c r="E321" s="868"/>
      <c r="F321" s="868"/>
      <c r="G321" s="868"/>
      <c r="H321" s="868"/>
    </row>
    <row r="322" spans="1:8" ht="15" customHeight="1" x14ac:dyDescent="0.25">
      <c r="A322" s="868"/>
      <c r="B322" s="868"/>
      <c r="C322" s="868"/>
      <c r="D322" s="868"/>
      <c r="E322" s="868"/>
      <c r="F322" s="868"/>
      <c r="G322" s="868"/>
      <c r="H322" s="868"/>
    </row>
    <row r="323" spans="1:8" ht="15" customHeight="1" x14ac:dyDescent="0.25">
      <c r="A323" s="868"/>
      <c r="B323" s="868"/>
      <c r="C323" s="868"/>
      <c r="D323" s="868"/>
      <c r="E323" s="868"/>
      <c r="F323" s="868"/>
      <c r="G323" s="868"/>
      <c r="H323" s="868"/>
    </row>
    <row r="324" spans="1:8" ht="15" customHeight="1" x14ac:dyDescent="0.25">
      <c r="A324" s="868"/>
      <c r="B324" s="868"/>
      <c r="C324" s="868"/>
      <c r="D324" s="868"/>
      <c r="E324" s="868"/>
      <c r="F324" s="868"/>
      <c r="G324" s="868"/>
      <c r="H324" s="868"/>
    </row>
    <row r="325" spans="1:8" ht="15" customHeight="1" x14ac:dyDescent="0.25">
      <c r="A325" s="868"/>
      <c r="B325" s="868"/>
      <c r="C325" s="868"/>
      <c r="D325" s="868"/>
      <c r="E325" s="868"/>
      <c r="F325" s="868"/>
      <c r="G325" s="868"/>
      <c r="H325" s="868"/>
    </row>
    <row r="326" spans="1:8" ht="15" customHeight="1" x14ac:dyDescent="0.25">
      <c r="A326" s="868"/>
      <c r="B326" s="868"/>
      <c r="C326" s="868"/>
      <c r="D326" s="868"/>
      <c r="E326" s="868"/>
      <c r="F326" s="868"/>
      <c r="G326" s="868"/>
      <c r="H326" s="868"/>
    </row>
    <row r="327" spans="1:8" ht="15" customHeight="1" x14ac:dyDescent="0.25">
      <c r="A327" s="868"/>
      <c r="B327" s="868"/>
      <c r="C327" s="868"/>
      <c r="D327" s="868"/>
      <c r="E327" s="868"/>
      <c r="F327" s="868"/>
      <c r="G327" s="868"/>
      <c r="H327" s="868"/>
    </row>
    <row r="328" spans="1:8" ht="15" customHeight="1" x14ac:dyDescent="0.25">
      <c r="A328" s="868"/>
      <c r="B328" s="868"/>
      <c r="C328" s="868"/>
      <c r="D328" s="868"/>
      <c r="E328" s="868"/>
      <c r="F328" s="868"/>
      <c r="G328" s="868"/>
      <c r="H328" s="868"/>
    </row>
    <row r="329" spans="1:8" ht="15" customHeight="1" x14ac:dyDescent="0.25">
      <c r="A329" s="868"/>
      <c r="B329" s="868"/>
      <c r="C329" s="868"/>
      <c r="D329" s="868"/>
      <c r="E329" s="868"/>
      <c r="F329" s="868"/>
      <c r="G329" s="868"/>
      <c r="H329" s="868"/>
    </row>
    <row r="330" spans="1:8" ht="15" customHeight="1" x14ac:dyDescent="0.25">
      <c r="A330" s="868"/>
      <c r="B330" s="868"/>
      <c r="C330" s="868"/>
      <c r="D330" s="868"/>
      <c r="E330" s="868"/>
      <c r="F330" s="868"/>
      <c r="G330" s="868"/>
      <c r="H330" s="868"/>
    </row>
  </sheetData>
  <mergeCells count="99">
    <mergeCell ref="A5:D5"/>
    <mergeCell ref="E5:H5"/>
    <mergeCell ref="A1:B3"/>
    <mergeCell ref="C1:G1"/>
    <mergeCell ref="H1:H3"/>
    <mergeCell ref="C2:G3"/>
    <mergeCell ref="A4:H4"/>
    <mergeCell ref="A6:D21"/>
    <mergeCell ref="E6:H21"/>
    <mergeCell ref="A22:D22"/>
    <mergeCell ref="E22:H22"/>
    <mergeCell ref="A23:D38"/>
    <mergeCell ref="E23:H38"/>
    <mergeCell ref="A77:D77"/>
    <mergeCell ref="E77:H77"/>
    <mergeCell ref="A39:D39"/>
    <mergeCell ref="E39:H39"/>
    <mergeCell ref="A40:D55"/>
    <mergeCell ref="E40:H55"/>
    <mergeCell ref="A56:B58"/>
    <mergeCell ref="C56:G56"/>
    <mergeCell ref="H56:H58"/>
    <mergeCell ref="C57:G58"/>
    <mergeCell ref="A59:H59"/>
    <mergeCell ref="A60:D60"/>
    <mergeCell ref="E60:H60"/>
    <mergeCell ref="A61:D76"/>
    <mergeCell ref="E61:H76"/>
    <mergeCell ref="A115:D115"/>
    <mergeCell ref="E115:H115"/>
    <mergeCell ref="A78:D93"/>
    <mergeCell ref="E78:H93"/>
    <mergeCell ref="A94:D94"/>
    <mergeCell ref="E94:H94"/>
    <mergeCell ref="A95:D110"/>
    <mergeCell ref="E95:H110"/>
    <mergeCell ref="A111:B113"/>
    <mergeCell ref="C111:G111"/>
    <mergeCell ref="H111:H113"/>
    <mergeCell ref="C112:G113"/>
    <mergeCell ref="A114:H114"/>
    <mergeCell ref="A116:D131"/>
    <mergeCell ref="E116:H131"/>
    <mergeCell ref="A132:D132"/>
    <mergeCell ref="E132:H132"/>
    <mergeCell ref="A133:D148"/>
    <mergeCell ref="E133:H148"/>
    <mergeCell ref="A187:D187"/>
    <mergeCell ref="E187:H187"/>
    <mergeCell ref="A149:D149"/>
    <mergeCell ref="E149:H149"/>
    <mergeCell ref="A150:D165"/>
    <mergeCell ref="E150:H165"/>
    <mergeCell ref="A166:B168"/>
    <mergeCell ref="C166:G166"/>
    <mergeCell ref="H166:H168"/>
    <mergeCell ref="C167:G168"/>
    <mergeCell ref="A169:H169"/>
    <mergeCell ref="A170:D170"/>
    <mergeCell ref="E170:H170"/>
    <mergeCell ref="A171:D186"/>
    <mergeCell ref="E171:H186"/>
    <mergeCell ref="A225:D225"/>
    <mergeCell ref="E225:H225"/>
    <mergeCell ref="A188:D203"/>
    <mergeCell ref="E188:H203"/>
    <mergeCell ref="A204:D204"/>
    <mergeCell ref="E204:H204"/>
    <mergeCell ref="A205:D220"/>
    <mergeCell ref="E205:H220"/>
    <mergeCell ref="A221:B223"/>
    <mergeCell ref="C221:G221"/>
    <mergeCell ref="H221:H223"/>
    <mergeCell ref="C222:G223"/>
    <mergeCell ref="A224:H224"/>
    <mergeCell ref="A226:D241"/>
    <mergeCell ref="E226:H241"/>
    <mergeCell ref="A242:D242"/>
    <mergeCell ref="E242:H242"/>
    <mergeCell ref="A243:D258"/>
    <mergeCell ref="E243:H258"/>
    <mergeCell ref="A259:D259"/>
    <mergeCell ref="E259:H259"/>
    <mergeCell ref="A260:D275"/>
    <mergeCell ref="E260:H275"/>
    <mergeCell ref="A276:B278"/>
    <mergeCell ref="C276:G276"/>
    <mergeCell ref="H276:H278"/>
    <mergeCell ref="C277:G278"/>
    <mergeCell ref="A298:D313"/>
    <mergeCell ref="E298:H313"/>
    <mergeCell ref="A314:H330"/>
    <mergeCell ref="A279:H279"/>
    <mergeCell ref="A280:D280"/>
    <mergeCell ref="E280:H280"/>
    <mergeCell ref="A281:D296"/>
    <mergeCell ref="E281:H296"/>
    <mergeCell ref="A297:D297"/>
    <mergeCell ref="E297:H297"/>
  </mergeCells>
  <printOptions horizontalCentered="1" verticalCentered="1"/>
  <pageMargins left="0.31496062992125984" right="0.31496062992125984" top="0.19685039370078741" bottom="0.19685039370078741" header="0" footer="0"/>
  <pageSetup scale="75" orientation="portrait" r:id="rId1"/>
  <headerFooter alignWithMargins="0"/>
  <rowBreaks count="5" manualBreakCount="5">
    <brk id="55" max="7" man="1"/>
    <brk id="110" max="7" man="1"/>
    <brk id="165" max="7" man="1"/>
    <brk id="220" max="7" man="1"/>
    <brk id="275" max="7" man="1"/>
  </rowBreaks>
  <drawing r:id="rId2"/>
  <legacyDrawing r:id="rId3"/>
  <oleObjects>
    <mc:AlternateContent xmlns:mc="http://schemas.openxmlformats.org/markup-compatibility/2006">
      <mc:Choice Requires="x14">
        <oleObject shapeId="9217" r:id="rId4">
          <objectPr defaultSize="0" autoPict="0" r:id="rId5">
            <anchor moveWithCells="1" sizeWithCells="1">
              <from>
                <xdr:col>0</xdr:col>
                <xdr:colOff>83820</xdr:colOff>
                <xdr:row>275</xdr:row>
                <xdr:rowOff>114300</xdr:rowOff>
              </from>
              <to>
                <xdr:col>1</xdr:col>
                <xdr:colOff>998220</xdr:colOff>
                <xdr:row>277</xdr:row>
                <xdr:rowOff>121920</xdr:rowOff>
              </to>
            </anchor>
          </objectPr>
        </oleObject>
      </mc:Choice>
      <mc:Fallback>
        <oleObject shapeId="9217" r:id="rId4"/>
      </mc:Fallback>
    </mc:AlternateContent>
    <mc:AlternateContent xmlns:mc="http://schemas.openxmlformats.org/markup-compatibility/2006">
      <mc:Choice Requires="x14">
        <oleObject shapeId="9218" r:id="rId6">
          <objectPr defaultSize="0" autoPict="0" r:id="rId5">
            <anchor moveWithCells="1" sizeWithCells="1">
              <from>
                <xdr:col>0</xdr:col>
                <xdr:colOff>83820</xdr:colOff>
                <xdr:row>220</xdr:row>
                <xdr:rowOff>114300</xdr:rowOff>
              </from>
              <to>
                <xdr:col>1</xdr:col>
                <xdr:colOff>998220</xdr:colOff>
                <xdr:row>222</xdr:row>
                <xdr:rowOff>121920</xdr:rowOff>
              </to>
            </anchor>
          </objectPr>
        </oleObject>
      </mc:Choice>
      <mc:Fallback>
        <oleObject shapeId="9218" r:id="rId6"/>
      </mc:Fallback>
    </mc:AlternateContent>
    <mc:AlternateContent xmlns:mc="http://schemas.openxmlformats.org/markup-compatibility/2006">
      <mc:Choice Requires="x14">
        <oleObject shapeId="9219" r:id="rId7">
          <objectPr defaultSize="0" autoPict="0" r:id="rId5">
            <anchor moveWithCells="1" sizeWithCells="1">
              <from>
                <xdr:col>0</xdr:col>
                <xdr:colOff>83820</xdr:colOff>
                <xdr:row>165</xdr:row>
                <xdr:rowOff>114300</xdr:rowOff>
              </from>
              <to>
                <xdr:col>1</xdr:col>
                <xdr:colOff>998220</xdr:colOff>
                <xdr:row>167</xdr:row>
                <xdr:rowOff>121920</xdr:rowOff>
              </to>
            </anchor>
          </objectPr>
        </oleObject>
      </mc:Choice>
      <mc:Fallback>
        <oleObject shapeId="9219" r:id="rId7"/>
      </mc:Fallback>
    </mc:AlternateContent>
    <mc:AlternateContent xmlns:mc="http://schemas.openxmlformats.org/markup-compatibility/2006">
      <mc:Choice Requires="x14">
        <oleObject shapeId="9220" r:id="rId8">
          <objectPr defaultSize="0" autoPict="0" r:id="rId5">
            <anchor moveWithCells="1" sizeWithCells="1">
              <from>
                <xdr:col>0</xdr:col>
                <xdr:colOff>83820</xdr:colOff>
                <xdr:row>110</xdr:row>
                <xdr:rowOff>114300</xdr:rowOff>
              </from>
              <to>
                <xdr:col>1</xdr:col>
                <xdr:colOff>998220</xdr:colOff>
                <xdr:row>112</xdr:row>
                <xdr:rowOff>121920</xdr:rowOff>
              </to>
            </anchor>
          </objectPr>
        </oleObject>
      </mc:Choice>
      <mc:Fallback>
        <oleObject shapeId="9220" r:id="rId8"/>
      </mc:Fallback>
    </mc:AlternateContent>
    <mc:AlternateContent xmlns:mc="http://schemas.openxmlformats.org/markup-compatibility/2006">
      <mc:Choice Requires="x14">
        <oleObject shapeId="9221" r:id="rId9">
          <objectPr defaultSize="0" autoPict="0" r:id="rId5">
            <anchor moveWithCells="1" sizeWithCells="1">
              <from>
                <xdr:col>0</xdr:col>
                <xdr:colOff>83820</xdr:colOff>
                <xdr:row>55</xdr:row>
                <xdr:rowOff>114300</xdr:rowOff>
              </from>
              <to>
                <xdr:col>1</xdr:col>
                <xdr:colOff>998220</xdr:colOff>
                <xdr:row>57</xdr:row>
                <xdr:rowOff>121920</xdr:rowOff>
              </to>
            </anchor>
          </objectPr>
        </oleObject>
      </mc:Choice>
      <mc:Fallback>
        <oleObject shapeId="9221" r:id="rId9"/>
      </mc:Fallback>
    </mc:AlternateContent>
    <mc:AlternateContent xmlns:mc="http://schemas.openxmlformats.org/markup-compatibility/2006">
      <mc:Choice Requires="x14">
        <oleObject shapeId="9222" r:id="rId10">
          <objectPr defaultSize="0" autoPict="0" r:id="rId5">
            <anchor moveWithCells="1" sizeWithCells="1">
              <from>
                <xdr:col>0</xdr:col>
                <xdr:colOff>83820</xdr:colOff>
                <xdr:row>0</xdr:row>
                <xdr:rowOff>114300</xdr:rowOff>
              </from>
              <to>
                <xdr:col>1</xdr:col>
                <xdr:colOff>998220</xdr:colOff>
                <xdr:row>2</xdr:row>
                <xdr:rowOff>68580</xdr:rowOff>
              </to>
            </anchor>
          </objectPr>
        </oleObject>
      </mc:Choice>
      <mc:Fallback>
        <oleObject shapeId="9222" r:id="rId10"/>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1">
    <tabColor rgb="FF92D050"/>
    <pageSetUpPr fitToPage="1"/>
  </sheetPr>
  <dimension ref="A1:Y61"/>
  <sheetViews>
    <sheetView showGridLines="0" view="pageBreakPreview" topLeftCell="F1" zoomScale="85" zoomScaleNormal="85" zoomScaleSheetLayoutView="85" workbookViewId="0">
      <pane ySplit="8" topLeftCell="A30" activePane="bottomLeft" state="frozen"/>
      <selection activeCell="AF29" sqref="AF29:AK29"/>
      <selection pane="bottomLeft" activeCell="L41" sqref="L41"/>
    </sheetView>
  </sheetViews>
  <sheetFormatPr defaultColWidth="11.44140625" defaultRowHeight="13.8" x14ac:dyDescent="0.3"/>
  <cols>
    <col min="1" max="1" width="6" style="204" customWidth="1"/>
    <col min="2" max="2" width="28.6640625" style="204" bestFit="1" customWidth="1"/>
    <col min="3" max="3" width="13.109375" style="204" customWidth="1"/>
    <col min="4" max="4" width="13.109375" style="204" hidden="1" customWidth="1"/>
    <col min="5" max="5" width="13.109375" style="204" customWidth="1"/>
    <col min="6" max="6" width="7.44140625" style="204" customWidth="1"/>
    <col min="7" max="7" width="6.6640625" style="204" customWidth="1"/>
    <col min="8" max="8" width="5" style="204" customWidth="1"/>
    <col min="9" max="9" width="5.6640625" style="204" customWidth="1"/>
    <col min="10" max="10" width="5.109375" style="204" customWidth="1"/>
    <col min="11" max="11" width="4.6640625" style="204" customWidth="1"/>
    <col min="12" max="12" width="27.33203125" style="204" customWidth="1"/>
    <col min="13" max="14" width="10.88671875" style="204" customWidth="1"/>
    <col min="15" max="15" width="14.44140625" style="204" customWidth="1"/>
    <col min="16" max="16" width="14.33203125" style="204" bestFit="1" customWidth="1"/>
    <col min="17" max="17" width="11.109375" style="204" bestFit="1" customWidth="1"/>
    <col min="18" max="18" width="24.109375" style="204" customWidth="1"/>
    <col min="19" max="19" width="18.88671875" style="204" customWidth="1"/>
    <col min="20" max="21" width="11.6640625" style="204" customWidth="1"/>
    <col min="22" max="22" width="19" style="204" customWidth="1"/>
    <col min="23" max="23" width="18.109375" style="204" hidden="1" customWidth="1"/>
    <col min="24" max="24" width="23.88671875" style="204" bestFit="1" customWidth="1"/>
    <col min="25" max="25" width="5.44140625" style="204" customWidth="1"/>
    <col min="26" max="258" width="11.44140625" style="204"/>
    <col min="259" max="259" width="6" style="204" customWidth="1"/>
    <col min="260" max="260" width="15.6640625" style="204" customWidth="1"/>
    <col min="261" max="262" width="13.109375" style="204" customWidth="1"/>
    <col min="263" max="263" width="6.44140625" style="204" customWidth="1"/>
    <col min="264" max="264" width="6.6640625" style="204" customWidth="1"/>
    <col min="265" max="265" width="5" style="204" customWidth="1"/>
    <col min="266" max="266" width="5.6640625" style="204" customWidth="1"/>
    <col min="267" max="267" width="5.109375" style="204" customWidth="1"/>
    <col min="268" max="268" width="4.6640625" style="204" customWidth="1"/>
    <col min="269" max="269" width="8.109375" style="204" customWidth="1"/>
    <col min="270" max="270" width="10.88671875" style="204" customWidth="1"/>
    <col min="271" max="271" width="6.44140625" style="204" customWidth="1"/>
    <col min="272" max="272" width="7.44140625" style="204" customWidth="1"/>
    <col min="273" max="273" width="5.88671875" style="204" customWidth="1"/>
    <col min="274" max="274" width="6.44140625" style="204" customWidth="1"/>
    <col min="275" max="275" width="5.88671875" style="204" customWidth="1"/>
    <col min="276" max="276" width="5.109375" style="204" customWidth="1"/>
    <col min="277" max="277" width="12.88671875" style="204" customWidth="1"/>
    <col min="278" max="278" width="15" style="204" customWidth="1"/>
    <col min="279" max="279" width="20.6640625" style="204" customWidth="1"/>
    <col min="280" max="280" width="23.6640625" style="204" customWidth="1"/>
    <col min="281" max="281" width="5.44140625" style="204" customWidth="1"/>
    <col min="282" max="514" width="11.44140625" style="204"/>
    <col min="515" max="515" width="6" style="204" customWidth="1"/>
    <col min="516" max="516" width="15.6640625" style="204" customWidth="1"/>
    <col min="517" max="518" width="13.109375" style="204" customWidth="1"/>
    <col min="519" max="519" width="6.44140625" style="204" customWidth="1"/>
    <col min="520" max="520" width="6.6640625" style="204" customWidth="1"/>
    <col min="521" max="521" width="5" style="204" customWidth="1"/>
    <col min="522" max="522" width="5.6640625" style="204" customWidth="1"/>
    <col min="523" max="523" width="5.109375" style="204" customWidth="1"/>
    <col min="524" max="524" width="4.6640625" style="204" customWidth="1"/>
    <col min="525" max="525" width="8.109375" style="204" customWidth="1"/>
    <col min="526" max="526" width="10.88671875" style="204" customWidth="1"/>
    <col min="527" max="527" width="6.44140625" style="204" customWidth="1"/>
    <col min="528" max="528" width="7.44140625" style="204" customWidth="1"/>
    <col min="529" max="529" width="5.88671875" style="204" customWidth="1"/>
    <col min="530" max="530" width="6.44140625" style="204" customWidth="1"/>
    <col min="531" max="531" width="5.88671875" style="204" customWidth="1"/>
    <col min="532" max="532" width="5.109375" style="204" customWidth="1"/>
    <col min="533" max="533" width="12.88671875" style="204" customWidth="1"/>
    <col min="534" max="534" width="15" style="204" customWidth="1"/>
    <col min="535" max="535" width="20.6640625" style="204" customWidth="1"/>
    <col min="536" max="536" width="23.6640625" style="204" customWidth="1"/>
    <col min="537" max="537" width="5.44140625" style="204" customWidth="1"/>
    <col min="538" max="770" width="11.44140625" style="204"/>
    <col min="771" max="771" width="6" style="204" customWidth="1"/>
    <col min="772" max="772" width="15.6640625" style="204" customWidth="1"/>
    <col min="773" max="774" width="13.109375" style="204" customWidth="1"/>
    <col min="775" max="775" width="6.44140625" style="204" customWidth="1"/>
    <col min="776" max="776" width="6.6640625" style="204" customWidth="1"/>
    <col min="777" max="777" width="5" style="204" customWidth="1"/>
    <col min="778" max="778" width="5.6640625" style="204" customWidth="1"/>
    <col min="779" max="779" width="5.109375" style="204" customWidth="1"/>
    <col min="780" max="780" width="4.6640625" style="204" customWidth="1"/>
    <col min="781" max="781" width="8.109375" style="204" customWidth="1"/>
    <col min="782" max="782" width="10.88671875" style="204" customWidth="1"/>
    <col min="783" max="783" width="6.44140625" style="204" customWidth="1"/>
    <col min="784" max="784" width="7.44140625" style="204" customWidth="1"/>
    <col min="785" max="785" width="5.88671875" style="204" customWidth="1"/>
    <col min="786" max="786" width="6.44140625" style="204" customWidth="1"/>
    <col min="787" max="787" width="5.88671875" style="204" customWidth="1"/>
    <col min="788" max="788" width="5.109375" style="204" customWidth="1"/>
    <col min="789" max="789" width="12.88671875" style="204" customWidth="1"/>
    <col min="790" max="790" width="15" style="204" customWidth="1"/>
    <col min="791" max="791" width="20.6640625" style="204" customWidth="1"/>
    <col min="792" max="792" width="23.6640625" style="204" customWidth="1"/>
    <col min="793" max="793" width="5.44140625" style="204" customWidth="1"/>
    <col min="794" max="1026" width="11.44140625" style="204"/>
    <col min="1027" max="1027" width="6" style="204" customWidth="1"/>
    <col min="1028" max="1028" width="15.6640625" style="204" customWidth="1"/>
    <col min="1029" max="1030" width="13.109375" style="204" customWidth="1"/>
    <col min="1031" max="1031" width="6.44140625" style="204" customWidth="1"/>
    <col min="1032" max="1032" width="6.6640625" style="204" customWidth="1"/>
    <col min="1033" max="1033" width="5" style="204" customWidth="1"/>
    <col min="1034" max="1034" width="5.6640625" style="204" customWidth="1"/>
    <col min="1035" max="1035" width="5.109375" style="204" customWidth="1"/>
    <col min="1036" max="1036" width="4.6640625" style="204" customWidth="1"/>
    <col min="1037" max="1037" width="8.109375" style="204" customWidth="1"/>
    <col min="1038" max="1038" width="10.88671875" style="204" customWidth="1"/>
    <col min="1039" max="1039" width="6.44140625" style="204" customWidth="1"/>
    <col min="1040" max="1040" width="7.44140625" style="204" customWidth="1"/>
    <col min="1041" max="1041" width="5.88671875" style="204" customWidth="1"/>
    <col min="1042" max="1042" width="6.44140625" style="204" customWidth="1"/>
    <col min="1043" max="1043" width="5.88671875" style="204" customWidth="1"/>
    <col min="1044" max="1044" width="5.109375" style="204" customWidth="1"/>
    <col min="1045" max="1045" width="12.88671875" style="204" customWidth="1"/>
    <col min="1046" max="1046" width="15" style="204" customWidth="1"/>
    <col min="1047" max="1047" width="20.6640625" style="204" customWidth="1"/>
    <col min="1048" max="1048" width="23.6640625" style="204" customWidth="1"/>
    <col min="1049" max="1049" width="5.44140625" style="204" customWidth="1"/>
    <col min="1050" max="1282" width="11.44140625" style="204"/>
    <col min="1283" max="1283" width="6" style="204" customWidth="1"/>
    <col min="1284" max="1284" width="15.6640625" style="204" customWidth="1"/>
    <col min="1285" max="1286" width="13.109375" style="204" customWidth="1"/>
    <col min="1287" max="1287" width="6.44140625" style="204" customWidth="1"/>
    <col min="1288" max="1288" width="6.6640625" style="204" customWidth="1"/>
    <col min="1289" max="1289" width="5" style="204" customWidth="1"/>
    <col min="1290" max="1290" width="5.6640625" style="204" customWidth="1"/>
    <col min="1291" max="1291" width="5.109375" style="204" customWidth="1"/>
    <col min="1292" max="1292" width="4.6640625" style="204" customWidth="1"/>
    <col min="1293" max="1293" width="8.109375" style="204" customWidth="1"/>
    <col min="1294" max="1294" width="10.88671875" style="204" customWidth="1"/>
    <col min="1295" max="1295" width="6.44140625" style="204" customWidth="1"/>
    <col min="1296" max="1296" width="7.44140625" style="204" customWidth="1"/>
    <col min="1297" max="1297" width="5.88671875" style="204" customWidth="1"/>
    <col min="1298" max="1298" width="6.44140625" style="204" customWidth="1"/>
    <col min="1299" max="1299" width="5.88671875" style="204" customWidth="1"/>
    <col min="1300" max="1300" width="5.109375" style="204" customWidth="1"/>
    <col min="1301" max="1301" width="12.88671875" style="204" customWidth="1"/>
    <col min="1302" max="1302" width="15" style="204" customWidth="1"/>
    <col min="1303" max="1303" width="20.6640625" style="204" customWidth="1"/>
    <col min="1304" max="1304" width="23.6640625" style="204" customWidth="1"/>
    <col min="1305" max="1305" width="5.44140625" style="204" customWidth="1"/>
    <col min="1306" max="1538" width="11.44140625" style="204"/>
    <col min="1539" max="1539" width="6" style="204" customWidth="1"/>
    <col min="1540" max="1540" width="15.6640625" style="204" customWidth="1"/>
    <col min="1541" max="1542" width="13.109375" style="204" customWidth="1"/>
    <col min="1543" max="1543" width="6.44140625" style="204" customWidth="1"/>
    <col min="1544" max="1544" width="6.6640625" style="204" customWidth="1"/>
    <col min="1545" max="1545" width="5" style="204" customWidth="1"/>
    <col min="1546" max="1546" width="5.6640625" style="204" customWidth="1"/>
    <col min="1547" max="1547" width="5.109375" style="204" customWidth="1"/>
    <col min="1548" max="1548" width="4.6640625" style="204" customWidth="1"/>
    <col min="1549" max="1549" width="8.109375" style="204" customWidth="1"/>
    <col min="1550" max="1550" width="10.88671875" style="204" customWidth="1"/>
    <col min="1551" max="1551" width="6.44140625" style="204" customWidth="1"/>
    <col min="1552" max="1552" width="7.44140625" style="204" customWidth="1"/>
    <col min="1553" max="1553" width="5.88671875" style="204" customWidth="1"/>
    <col min="1554" max="1554" width="6.44140625" style="204" customWidth="1"/>
    <col min="1555" max="1555" width="5.88671875" style="204" customWidth="1"/>
    <col min="1556" max="1556" width="5.109375" style="204" customWidth="1"/>
    <col min="1557" max="1557" width="12.88671875" style="204" customWidth="1"/>
    <col min="1558" max="1558" width="15" style="204" customWidth="1"/>
    <col min="1559" max="1559" width="20.6640625" style="204" customWidth="1"/>
    <col min="1560" max="1560" width="23.6640625" style="204" customWidth="1"/>
    <col min="1561" max="1561" width="5.44140625" style="204" customWidth="1"/>
    <col min="1562" max="1794" width="11.44140625" style="204"/>
    <col min="1795" max="1795" width="6" style="204" customWidth="1"/>
    <col min="1796" max="1796" width="15.6640625" style="204" customWidth="1"/>
    <col min="1797" max="1798" width="13.109375" style="204" customWidth="1"/>
    <col min="1799" max="1799" width="6.44140625" style="204" customWidth="1"/>
    <col min="1800" max="1800" width="6.6640625" style="204" customWidth="1"/>
    <col min="1801" max="1801" width="5" style="204" customWidth="1"/>
    <col min="1802" max="1802" width="5.6640625" style="204" customWidth="1"/>
    <col min="1803" max="1803" width="5.109375" style="204" customWidth="1"/>
    <col min="1804" max="1804" width="4.6640625" style="204" customWidth="1"/>
    <col min="1805" max="1805" width="8.109375" style="204" customWidth="1"/>
    <col min="1806" max="1806" width="10.88671875" style="204" customWidth="1"/>
    <col min="1807" max="1807" width="6.44140625" style="204" customWidth="1"/>
    <col min="1808" max="1808" width="7.44140625" style="204" customWidth="1"/>
    <col min="1809" max="1809" width="5.88671875" style="204" customWidth="1"/>
    <col min="1810" max="1810" width="6.44140625" style="204" customWidth="1"/>
    <col min="1811" max="1811" width="5.88671875" style="204" customWidth="1"/>
    <col min="1812" max="1812" width="5.109375" style="204" customWidth="1"/>
    <col min="1813" max="1813" width="12.88671875" style="204" customWidth="1"/>
    <col min="1814" max="1814" width="15" style="204" customWidth="1"/>
    <col min="1815" max="1815" width="20.6640625" style="204" customWidth="1"/>
    <col min="1816" max="1816" width="23.6640625" style="204" customWidth="1"/>
    <col min="1817" max="1817" width="5.44140625" style="204" customWidth="1"/>
    <col min="1818" max="2050" width="11.44140625" style="204"/>
    <col min="2051" max="2051" width="6" style="204" customWidth="1"/>
    <col min="2052" max="2052" width="15.6640625" style="204" customWidth="1"/>
    <col min="2053" max="2054" width="13.109375" style="204" customWidth="1"/>
    <col min="2055" max="2055" width="6.44140625" style="204" customWidth="1"/>
    <col min="2056" max="2056" width="6.6640625" style="204" customWidth="1"/>
    <col min="2057" max="2057" width="5" style="204" customWidth="1"/>
    <col min="2058" max="2058" width="5.6640625" style="204" customWidth="1"/>
    <col min="2059" max="2059" width="5.109375" style="204" customWidth="1"/>
    <col min="2060" max="2060" width="4.6640625" style="204" customWidth="1"/>
    <col min="2061" max="2061" width="8.109375" style="204" customWidth="1"/>
    <col min="2062" max="2062" width="10.88671875" style="204" customWidth="1"/>
    <col min="2063" max="2063" width="6.44140625" style="204" customWidth="1"/>
    <col min="2064" max="2064" width="7.44140625" style="204" customWidth="1"/>
    <col min="2065" max="2065" width="5.88671875" style="204" customWidth="1"/>
    <col min="2066" max="2066" width="6.44140625" style="204" customWidth="1"/>
    <col min="2067" max="2067" width="5.88671875" style="204" customWidth="1"/>
    <col min="2068" max="2068" width="5.109375" style="204" customWidth="1"/>
    <col min="2069" max="2069" width="12.88671875" style="204" customWidth="1"/>
    <col min="2070" max="2070" width="15" style="204" customWidth="1"/>
    <col min="2071" max="2071" width="20.6640625" style="204" customWidth="1"/>
    <col min="2072" max="2072" width="23.6640625" style="204" customWidth="1"/>
    <col min="2073" max="2073" width="5.44140625" style="204" customWidth="1"/>
    <col min="2074" max="2306" width="11.44140625" style="204"/>
    <col min="2307" max="2307" width="6" style="204" customWidth="1"/>
    <col min="2308" max="2308" width="15.6640625" style="204" customWidth="1"/>
    <col min="2309" max="2310" width="13.109375" style="204" customWidth="1"/>
    <col min="2311" max="2311" width="6.44140625" style="204" customWidth="1"/>
    <col min="2312" max="2312" width="6.6640625" style="204" customWidth="1"/>
    <col min="2313" max="2313" width="5" style="204" customWidth="1"/>
    <col min="2314" max="2314" width="5.6640625" style="204" customWidth="1"/>
    <col min="2315" max="2315" width="5.109375" style="204" customWidth="1"/>
    <col min="2316" max="2316" width="4.6640625" style="204" customWidth="1"/>
    <col min="2317" max="2317" width="8.109375" style="204" customWidth="1"/>
    <col min="2318" max="2318" width="10.88671875" style="204" customWidth="1"/>
    <col min="2319" max="2319" width="6.44140625" style="204" customWidth="1"/>
    <col min="2320" max="2320" width="7.44140625" style="204" customWidth="1"/>
    <col min="2321" max="2321" width="5.88671875" style="204" customWidth="1"/>
    <col min="2322" max="2322" width="6.44140625" style="204" customWidth="1"/>
    <col min="2323" max="2323" width="5.88671875" style="204" customWidth="1"/>
    <col min="2324" max="2324" width="5.109375" style="204" customWidth="1"/>
    <col min="2325" max="2325" width="12.88671875" style="204" customWidth="1"/>
    <col min="2326" max="2326" width="15" style="204" customWidth="1"/>
    <col min="2327" max="2327" width="20.6640625" style="204" customWidth="1"/>
    <col min="2328" max="2328" width="23.6640625" style="204" customWidth="1"/>
    <col min="2329" max="2329" width="5.44140625" style="204" customWidth="1"/>
    <col min="2330" max="2562" width="11.44140625" style="204"/>
    <col min="2563" max="2563" width="6" style="204" customWidth="1"/>
    <col min="2564" max="2564" width="15.6640625" style="204" customWidth="1"/>
    <col min="2565" max="2566" width="13.109375" style="204" customWidth="1"/>
    <col min="2567" max="2567" width="6.44140625" style="204" customWidth="1"/>
    <col min="2568" max="2568" width="6.6640625" style="204" customWidth="1"/>
    <col min="2569" max="2569" width="5" style="204" customWidth="1"/>
    <col min="2570" max="2570" width="5.6640625" style="204" customWidth="1"/>
    <col min="2571" max="2571" width="5.109375" style="204" customWidth="1"/>
    <col min="2572" max="2572" width="4.6640625" style="204" customWidth="1"/>
    <col min="2573" max="2573" width="8.109375" style="204" customWidth="1"/>
    <col min="2574" max="2574" width="10.88671875" style="204" customWidth="1"/>
    <col min="2575" max="2575" width="6.44140625" style="204" customWidth="1"/>
    <col min="2576" max="2576" width="7.44140625" style="204" customWidth="1"/>
    <col min="2577" max="2577" width="5.88671875" style="204" customWidth="1"/>
    <col min="2578" max="2578" width="6.44140625" style="204" customWidth="1"/>
    <col min="2579" max="2579" width="5.88671875" style="204" customWidth="1"/>
    <col min="2580" max="2580" width="5.109375" style="204" customWidth="1"/>
    <col min="2581" max="2581" width="12.88671875" style="204" customWidth="1"/>
    <col min="2582" max="2582" width="15" style="204" customWidth="1"/>
    <col min="2583" max="2583" width="20.6640625" style="204" customWidth="1"/>
    <col min="2584" max="2584" width="23.6640625" style="204" customWidth="1"/>
    <col min="2585" max="2585" width="5.44140625" style="204" customWidth="1"/>
    <col min="2586" max="2818" width="11.44140625" style="204"/>
    <col min="2819" max="2819" width="6" style="204" customWidth="1"/>
    <col min="2820" max="2820" width="15.6640625" style="204" customWidth="1"/>
    <col min="2821" max="2822" width="13.109375" style="204" customWidth="1"/>
    <col min="2823" max="2823" width="6.44140625" style="204" customWidth="1"/>
    <col min="2824" max="2824" width="6.6640625" style="204" customWidth="1"/>
    <col min="2825" max="2825" width="5" style="204" customWidth="1"/>
    <col min="2826" max="2826" width="5.6640625" style="204" customWidth="1"/>
    <col min="2827" max="2827" width="5.109375" style="204" customWidth="1"/>
    <col min="2828" max="2828" width="4.6640625" style="204" customWidth="1"/>
    <col min="2829" max="2829" width="8.109375" style="204" customWidth="1"/>
    <col min="2830" max="2830" width="10.88671875" style="204" customWidth="1"/>
    <col min="2831" max="2831" width="6.44140625" style="204" customWidth="1"/>
    <col min="2832" max="2832" width="7.44140625" style="204" customWidth="1"/>
    <col min="2833" max="2833" width="5.88671875" style="204" customWidth="1"/>
    <col min="2834" max="2834" width="6.44140625" style="204" customWidth="1"/>
    <col min="2835" max="2835" width="5.88671875" style="204" customWidth="1"/>
    <col min="2836" max="2836" width="5.109375" style="204" customWidth="1"/>
    <col min="2837" max="2837" width="12.88671875" style="204" customWidth="1"/>
    <col min="2838" max="2838" width="15" style="204" customWidth="1"/>
    <col min="2839" max="2839" width="20.6640625" style="204" customWidth="1"/>
    <col min="2840" max="2840" width="23.6640625" style="204" customWidth="1"/>
    <col min="2841" max="2841" width="5.44140625" style="204" customWidth="1"/>
    <col min="2842" max="3074" width="11.44140625" style="204"/>
    <col min="3075" max="3075" width="6" style="204" customWidth="1"/>
    <col min="3076" max="3076" width="15.6640625" style="204" customWidth="1"/>
    <col min="3077" max="3078" width="13.109375" style="204" customWidth="1"/>
    <col min="3079" max="3079" width="6.44140625" style="204" customWidth="1"/>
    <col min="3080" max="3080" width="6.6640625" style="204" customWidth="1"/>
    <col min="3081" max="3081" width="5" style="204" customWidth="1"/>
    <col min="3082" max="3082" width="5.6640625" style="204" customWidth="1"/>
    <col min="3083" max="3083" width="5.109375" style="204" customWidth="1"/>
    <col min="3084" max="3084" width="4.6640625" style="204" customWidth="1"/>
    <col min="3085" max="3085" width="8.109375" style="204" customWidth="1"/>
    <col min="3086" max="3086" width="10.88671875" style="204" customWidth="1"/>
    <col min="3087" max="3087" width="6.44140625" style="204" customWidth="1"/>
    <col min="3088" max="3088" width="7.44140625" style="204" customWidth="1"/>
    <col min="3089" max="3089" width="5.88671875" style="204" customWidth="1"/>
    <col min="3090" max="3090" width="6.44140625" style="204" customWidth="1"/>
    <col min="3091" max="3091" width="5.88671875" style="204" customWidth="1"/>
    <col min="3092" max="3092" width="5.109375" style="204" customWidth="1"/>
    <col min="3093" max="3093" width="12.88671875" style="204" customWidth="1"/>
    <col min="3094" max="3094" width="15" style="204" customWidth="1"/>
    <col min="3095" max="3095" width="20.6640625" style="204" customWidth="1"/>
    <col min="3096" max="3096" width="23.6640625" style="204" customWidth="1"/>
    <col min="3097" max="3097" width="5.44140625" style="204" customWidth="1"/>
    <col min="3098" max="3330" width="11.44140625" style="204"/>
    <col min="3331" max="3331" width="6" style="204" customWidth="1"/>
    <col min="3332" max="3332" width="15.6640625" style="204" customWidth="1"/>
    <col min="3333" max="3334" width="13.109375" style="204" customWidth="1"/>
    <col min="3335" max="3335" width="6.44140625" style="204" customWidth="1"/>
    <col min="3336" max="3336" width="6.6640625" style="204" customWidth="1"/>
    <col min="3337" max="3337" width="5" style="204" customWidth="1"/>
    <col min="3338" max="3338" width="5.6640625" style="204" customWidth="1"/>
    <col min="3339" max="3339" width="5.109375" style="204" customWidth="1"/>
    <col min="3340" max="3340" width="4.6640625" style="204" customWidth="1"/>
    <col min="3341" max="3341" width="8.109375" style="204" customWidth="1"/>
    <col min="3342" max="3342" width="10.88671875" style="204" customWidth="1"/>
    <col min="3343" max="3343" width="6.44140625" style="204" customWidth="1"/>
    <col min="3344" max="3344" width="7.44140625" style="204" customWidth="1"/>
    <col min="3345" max="3345" width="5.88671875" style="204" customWidth="1"/>
    <col min="3346" max="3346" width="6.44140625" style="204" customWidth="1"/>
    <col min="3347" max="3347" width="5.88671875" style="204" customWidth="1"/>
    <col min="3348" max="3348" width="5.109375" style="204" customWidth="1"/>
    <col min="3349" max="3349" width="12.88671875" style="204" customWidth="1"/>
    <col min="3350" max="3350" width="15" style="204" customWidth="1"/>
    <col min="3351" max="3351" width="20.6640625" style="204" customWidth="1"/>
    <col min="3352" max="3352" width="23.6640625" style="204" customWidth="1"/>
    <col min="3353" max="3353" width="5.44140625" style="204" customWidth="1"/>
    <col min="3354" max="3586" width="11.44140625" style="204"/>
    <col min="3587" max="3587" width="6" style="204" customWidth="1"/>
    <col min="3588" max="3588" width="15.6640625" style="204" customWidth="1"/>
    <col min="3589" max="3590" width="13.109375" style="204" customWidth="1"/>
    <col min="3591" max="3591" width="6.44140625" style="204" customWidth="1"/>
    <col min="3592" max="3592" width="6.6640625" style="204" customWidth="1"/>
    <col min="3593" max="3593" width="5" style="204" customWidth="1"/>
    <col min="3594" max="3594" width="5.6640625" style="204" customWidth="1"/>
    <col min="3595" max="3595" width="5.109375" style="204" customWidth="1"/>
    <col min="3596" max="3596" width="4.6640625" style="204" customWidth="1"/>
    <col min="3597" max="3597" width="8.109375" style="204" customWidth="1"/>
    <col min="3598" max="3598" width="10.88671875" style="204" customWidth="1"/>
    <col min="3599" max="3599" width="6.44140625" style="204" customWidth="1"/>
    <col min="3600" max="3600" width="7.44140625" style="204" customWidth="1"/>
    <col min="3601" max="3601" width="5.88671875" style="204" customWidth="1"/>
    <col min="3602" max="3602" width="6.44140625" style="204" customWidth="1"/>
    <col min="3603" max="3603" width="5.88671875" style="204" customWidth="1"/>
    <col min="3604" max="3604" width="5.109375" style="204" customWidth="1"/>
    <col min="3605" max="3605" width="12.88671875" style="204" customWidth="1"/>
    <col min="3606" max="3606" width="15" style="204" customWidth="1"/>
    <col min="3607" max="3607" width="20.6640625" style="204" customWidth="1"/>
    <col min="3608" max="3608" width="23.6640625" style="204" customWidth="1"/>
    <col min="3609" max="3609" width="5.44140625" style="204" customWidth="1"/>
    <col min="3610" max="3842" width="11.44140625" style="204"/>
    <col min="3843" max="3843" width="6" style="204" customWidth="1"/>
    <col min="3844" max="3844" width="15.6640625" style="204" customWidth="1"/>
    <col min="3845" max="3846" width="13.109375" style="204" customWidth="1"/>
    <col min="3847" max="3847" width="6.44140625" style="204" customWidth="1"/>
    <col min="3848" max="3848" width="6.6640625" style="204" customWidth="1"/>
    <col min="3849" max="3849" width="5" style="204" customWidth="1"/>
    <col min="3850" max="3850" width="5.6640625" style="204" customWidth="1"/>
    <col min="3851" max="3851" width="5.109375" style="204" customWidth="1"/>
    <col min="3852" max="3852" width="4.6640625" style="204" customWidth="1"/>
    <col min="3853" max="3853" width="8.109375" style="204" customWidth="1"/>
    <col min="3854" max="3854" width="10.88671875" style="204" customWidth="1"/>
    <col min="3855" max="3855" width="6.44140625" style="204" customWidth="1"/>
    <col min="3856" max="3856" width="7.44140625" style="204" customWidth="1"/>
    <col min="3857" max="3857" width="5.88671875" style="204" customWidth="1"/>
    <col min="3858" max="3858" width="6.44140625" style="204" customWidth="1"/>
    <col min="3859" max="3859" width="5.88671875" style="204" customWidth="1"/>
    <col min="3860" max="3860" width="5.109375" style="204" customWidth="1"/>
    <col min="3861" max="3861" width="12.88671875" style="204" customWidth="1"/>
    <col min="3862" max="3862" width="15" style="204" customWidth="1"/>
    <col min="3863" max="3863" width="20.6640625" style="204" customWidth="1"/>
    <col min="3864" max="3864" width="23.6640625" style="204" customWidth="1"/>
    <col min="3865" max="3865" width="5.44140625" style="204" customWidth="1"/>
    <col min="3866" max="4098" width="11.44140625" style="204"/>
    <col min="4099" max="4099" width="6" style="204" customWidth="1"/>
    <col min="4100" max="4100" width="15.6640625" style="204" customWidth="1"/>
    <col min="4101" max="4102" width="13.109375" style="204" customWidth="1"/>
    <col min="4103" max="4103" width="6.44140625" style="204" customWidth="1"/>
    <col min="4104" max="4104" width="6.6640625" style="204" customWidth="1"/>
    <col min="4105" max="4105" width="5" style="204" customWidth="1"/>
    <col min="4106" max="4106" width="5.6640625" style="204" customWidth="1"/>
    <col min="4107" max="4107" width="5.109375" style="204" customWidth="1"/>
    <col min="4108" max="4108" width="4.6640625" style="204" customWidth="1"/>
    <col min="4109" max="4109" width="8.109375" style="204" customWidth="1"/>
    <col min="4110" max="4110" width="10.88671875" style="204" customWidth="1"/>
    <col min="4111" max="4111" width="6.44140625" style="204" customWidth="1"/>
    <col min="4112" max="4112" width="7.44140625" style="204" customWidth="1"/>
    <col min="4113" max="4113" width="5.88671875" style="204" customWidth="1"/>
    <col min="4114" max="4114" width="6.44140625" style="204" customWidth="1"/>
    <col min="4115" max="4115" width="5.88671875" style="204" customWidth="1"/>
    <col min="4116" max="4116" width="5.109375" style="204" customWidth="1"/>
    <col min="4117" max="4117" width="12.88671875" style="204" customWidth="1"/>
    <col min="4118" max="4118" width="15" style="204" customWidth="1"/>
    <col min="4119" max="4119" width="20.6640625" style="204" customWidth="1"/>
    <col min="4120" max="4120" width="23.6640625" style="204" customWidth="1"/>
    <col min="4121" max="4121" width="5.44140625" style="204" customWidth="1"/>
    <col min="4122" max="4354" width="11.44140625" style="204"/>
    <col min="4355" max="4355" width="6" style="204" customWidth="1"/>
    <col min="4356" max="4356" width="15.6640625" style="204" customWidth="1"/>
    <col min="4357" max="4358" width="13.109375" style="204" customWidth="1"/>
    <col min="4359" max="4359" width="6.44140625" style="204" customWidth="1"/>
    <col min="4360" max="4360" width="6.6640625" style="204" customWidth="1"/>
    <col min="4361" max="4361" width="5" style="204" customWidth="1"/>
    <col min="4362" max="4362" width="5.6640625" style="204" customWidth="1"/>
    <col min="4363" max="4363" width="5.109375" style="204" customWidth="1"/>
    <col min="4364" max="4364" width="4.6640625" style="204" customWidth="1"/>
    <col min="4365" max="4365" width="8.109375" style="204" customWidth="1"/>
    <col min="4366" max="4366" width="10.88671875" style="204" customWidth="1"/>
    <col min="4367" max="4367" width="6.44140625" style="204" customWidth="1"/>
    <col min="4368" max="4368" width="7.44140625" style="204" customWidth="1"/>
    <col min="4369" max="4369" width="5.88671875" style="204" customWidth="1"/>
    <col min="4370" max="4370" width="6.44140625" style="204" customWidth="1"/>
    <col min="4371" max="4371" width="5.88671875" style="204" customWidth="1"/>
    <col min="4372" max="4372" width="5.109375" style="204" customWidth="1"/>
    <col min="4373" max="4373" width="12.88671875" style="204" customWidth="1"/>
    <col min="4374" max="4374" width="15" style="204" customWidth="1"/>
    <col min="4375" max="4375" width="20.6640625" style="204" customWidth="1"/>
    <col min="4376" max="4376" width="23.6640625" style="204" customWidth="1"/>
    <col min="4377" max="4377" width="5.44140625" style="204" customWidth="1"/>
    <col min="4378" max="4610" width="11.44140625" style="204"/>
    <col min="4611" max="4611" width="6" style="204" customWidth="1"/>
    <col min="4612" max="4612" width="15.6640625" style="204" customWidth="1"/>
    <col min="4613" max="4614" width="13.109375" style="204" customWidth="1"/>
    <col min="4615" max="4615" width="6.44140625" style="204" customWidth="1"/>
    <col min="4616" max="4616" width="6.6640625" style="204" customWidth="1"/>
    <col min="4617" max="4617" width="5" style="204" customWidth="1"/>
    <col min="4618" max="4618" width="5.6640625" style="204" customWidth="1"/>
    <col min="4619" max="4619" width="5.109375" style="204" customWidth="1"/>
    <col min="4620" max="4620" width="4.6640625" style="204" customWidth="1"/>
    <col min="4621" max="4621" width="8.109375" style="204" customWidth="1"/>
    <col min="4622" max="4622" width="10.88671875" style="204" customWidth="1"/>
    <col min="4623" max="4623" width="6.44140625" style="204" customWidth="1"/>
    <col min="4624" max="4624" width="7.44140625" style="204" customWidth="1"/>
    <col min="4625" max="4625" width="5.88671875" style="204" customWidth="1"/>
    <col min="4626" max="4626" width="6.44140625" style="204" customWidth="1"/>
    <col min="4627" max="4627" width="5.88671875" style="204" customWidth="1"/>
    <col min="4628" max="4628" width="5.109375" style="204" customWidth="1"/>
    <col min="4629" max="4629" width="12.88671875" style="204" customWidth="1"/>
    <col min="4630" max="4630" width="15" style="204" customWidth="1"/>
    <col min="4631" max="4631" width="20.6640625" style="204" customWidth="1"/>
    <col min="4632" max="4632" width="23.6640625" style="204" customWidth="1"/>
    <col min="4633" max="4633" width="5.44140625" style="204" customWidth="1"/>
    <col min="4634" max="4866" width="11.44140625" style="204"/>
    <col min="4867" max="4867" width="6" style="204" customWidth="1"/>
    <col min="4868" max="4868" width="15.6640625" style="204" customWidth="1"/>
    <col min="4869" max="4870" width="13.109375" style="204" customWidth="1"/>
    <col min="4871" max="4871" width="6.44140625" style="204" customWidth="1"/>
    <col min="4872" max="4872" width="6.6640625" style="204" customWidth="1"/>
    <col min="4873" max="4873" width="5" style="204" customWidth="1"/>
    <col min="4874" max="4874" width="5.6640625" style="204" customWidth="1"/>
    <col min="4875" max="4875" width="5.109375" style="204" customWidth="1"/>
    <col min="4876" max="4876" width="4.6640625" style="204" customWidth="1"/>
    <col min="4877" max="4877" width="8.109375" style="204" customWidth="1"/>
    <col min="4878" max="4878" width="10.88671875" style="204" customWidth="1"/>
    <col min="4879" max="4879" width="6.44140625" style="204" customWidth="1"/>
    <col min="4880" max="4880" width="7.44140625" style="204" customWidth="1"/>
    <col min="4881" max="4881" width="5.88671875" style="204" customWidth="1"/>
    <col min="4882" max="4882" width="6.44140625" style="204" customWidth="1"/>
    <col min="4883" max="4883" width="5.88671875" style="204" customWidth="1"/>
    <col min="4884" max="4884" width="5.109375" style="204" customWidth="1"/>
    <col min="4885" max="4885" width="12.88671875" style="204" customWidth="1"/>
    <col min="4886" max="4886" width="15" style="204" customWidth="1"/>
    <col min="4887" max="4887" width="20.6640625" style="204" customWidth="1"/>
    <col min="4888" max="4888" width="23.6640625" style="204" customWidth="1"/>
    <col min="4889" max="4889" width="5.44140625" style="204" customWidth="1"/>
    <col min="4890" max="5122" width="11.44140625" style="204"/>
    <col min="5123" max="5123" width="6" style="204" customWidth="1"/>
    <col min="5124" max="5124" width="15.6640625" style="204" customWidth="1"/>
    <col min="5125" max="5126" width="13.109375" style="204" customWidth="1"/>
    <col min="5127" max="5127" width="6.44140625" style="204" customWidth="1"/>
    <col min="5128" max="5128" width="6.6640625" style="204" customWidth="1"/>
    <col min="5129" max="5129" width="5" style="204" customWidth="1"/>
    <col min="5130" max="5130" width="5.6640625" style="204" customWidth="1"/>
    <col min="5131" max="5131" width="5.109375" style="204" customWidth="1"/>
    <col min="5132" max="5132" width="4.6640625" style="204" customWidth="1"/>
    <col min="5133" max="5133" width="8.109375" style="204" customWidth="1"/>
    <col min="5134" max="5134" width="10.88671875" style="204" customWidth="1"/>
    <col min="5135" max="5135" width="6.44140625" style="204" customWidth="1"/>
    <col min="5136" max="5136" width="7.44140625" style="204" customWidth="1"/>
    <col min="5137" max="5137" width="5.88671875" style="204" customWidth="1"/>
    <col min="5138" max="5138" width="6.44140625" style="204" customWidth="1"/>
    <col min="5139" max="5139" width="5.88671875" style="204" customWidth="1"/>
    <col min="5140" max="5140" width="5.109375" style="204" customWidth="1"/>
    <col min="5141" max="5141" width="12.88671875" style="204" customWidth="1"/>
    <col min="5142" max="5142" width="15" style="204" customWidth="1"/>
    <col min="5143" max="5143" width="20.6640625" style="204" customWidth="1"/>
    <col min="5144" max="5144" width="23.6640625" style="204" customWidth="1"/>
    <col min="5145" max="5145" width="5.44140625" style="204" customWidth="1"/>
    <col min="5146" max="5378" width="11.44140625" style="204"/>
    <col min="5379" max="5379" width="6" style="204" customWidth="1"/>
    <col min="5380" max="5380" width="15.6640625" style="204" customWidth="1"/>
    <col min="5381" max="5382" width="13.109375" style="204" customWidth="1"/>
    <col min="5383" max="5383" width="6.44140625" style="204" customWidth="1"/>
    <col min="5384" max="5384" width="6.6640625" style="204" customWidth="1"/>
    <col min="5385" max="5385" width="5" style="204" customWidth="1"/>
    <col min="5386" max="5386" width="5.6640625" style="204" customWidth="1"/>
    <col min="5387" max="5387" width="5.109375" style="204" customWidth="1"/>
    <col min="5388" max="5388" width="4.6640625" style="204" customWidth="1"/>
    <col min="5389" max="5389" width="8.109375" style="204" customWidth="1"/>
    <col min="5390" max="5390" width="10.88671875" style="204" customWidth="1"/>
    <col min="5391" max="5391" width="6.44140625" style="204" customWidth="1"/>
    <col min="5392" max="5392" width="7.44140625" style="204" customWidth="1"/>
    <col min="5393" max="5393" width="5.88671875" style="204" customWidth="1"/>
    <col min="5394" max="5394" width="6.44140625" style="204" customWidth="1"/>
    <col min="5395" max="5395" width="5.88671875" style="204" customWidth="1"/>
    <col min="5396" max="5396" width="5.109375" style="204" customWidth="1"/>
    <col min="5397" max="5397" width="12.88671875" style="204" customWidth="1"/>
    <col min="5398" max="5398" width="15" style="204" customWidth="1"/>
    <col min="5399" max="5399" width="20.6640625" style="204" customWidth="1"/>
    <col min="5400" max="5400" width="23.6640625" style="204" customWidth="1"/>
    <col min="5401" max="5401" width="5.44140625" style="204" customWidth="1"/>
    <col min="5402" max="5634" width="11.44140625" style="204"/>
    <col min="5635" max="5635" width="6" style="204" customWidth="1"/>
    <col min="5636" max="5636" width="15.6640625" style="204" customWidth="1"/>
    <col min="5637" max="5638" width="13.109375" style="204" customWidth="1"/>
    <col min="5639" max="5639" width="6.44140625" style="204" customWidth="1"/>
    <col min="5640" max="5640" width="6.6640625" style="204" customWidth="1"/>
    <col min="5641" max="5641" width="5" style="204" customWidth="1"/>
    <col min="5642" max="5642" width="5.6640625" style="204" customWidth="1"/>
    <col min="5643" max="5643" width="5.109375" style="204" customWidth="1"/>
    <col min="5644" max="5644" width="4.6640625" style="204" customWidth="1"/>
    <col min="5645" max="5645" width="8.109375" style="204" customWidth="1"/>
    <col min="5646" max="5646" width="10.88671875" style="204" customWidth="1"/>
    <col min="5647" max="5647" width="6.44140625" style="204" customWidth="1"/>
    <col min="5648" max="5648" width="7.44140625" style="204" customWidth="1"/>
    <col min="5649" max="5649" width="5.88671875" style="204" customWidth="1"/>
    <col min="5650" max="5650" width="6.44140625" style="204" customWidth="1"/>
    <col min="5651" max="5651" width="5.88671875" style="204" customWidth="1"/>
    <col min="5652" max="5652" width="5.109375" style="204" customWidth="1"/>
    <col min="5653" max="5653" width="12.88671875" style="204" customWidth="1"/>
    <col min="5654" max="5654" width="15" style="204" customWidth="1"/>
    <col min="5655" max="5655" width="20.6640625" style="204" customWidth="1"/>
    <col min="5656" max="5656" width="23.6640625" style="204" customWidth="1"/>
    <col min="5657" max="5657" width="5.44140625" style="204" customWidth="1"/>
    <col min="5658" max="5890" width="11.44140625" style="204"/>
    <col min="5891" max="5891" width="6" style="204" customWidth="1"/>
    <col min="5892" max="5892" width="15.6640625" style="204" customWidth="1"/>
    <col min="5893" max="5894" width="13.109375" style="204" customWidth="1"/>
    <col min="5895" max="5895" width="6.44140625" style="204" customWidth="1"/>
    <col min="5896" max="5896" width="6.6640625" style="204" customWidth="1"/>
    <col min="5897" max="5897" width="5" style="204" customWidth="1"/>
    <col min="5898" max="5898" width="5.6640625" style="204" customWidth="1"/>
    <col min="5899" max="5899" width="5.109375" style="204" customWidth="1"/>
    <col min="5900" max="5900" width="4.6640625" style="204" customWidth="1"/>
    <col min="5901" max="5901" width="8.109375" style="204" customWidth="1"/>
    <col min="5902" max="5902" width="10.88671875" style="204" customWidth="1"/>
    <col min="5903" max="5903" width="6.44140625" style="204" customWidth="1"/>
    <col min="5904" max="5904" width="7.44140625" style="204" customWidth="1"/>
    <col min="5905" max="5905" width="5.88671875" style="204" customWidth="1"/>
    <col min="5906" max="5906" width="6.44140625" style="204" customWidth="1"/>
    <col min="5907" max="5907" width="5.88671875" style="204" customWidth="1"/>
    <col min="5908" max="5908" width="5.109375" style="204" customWidth="1"/>
    <col min="5909" max="5909" width="12.88671875" style="204" customWidth="1"/>
    <col min="5910" max="5910" width="15" style="204" customWidth="1"/>
    <col min="5911" max="5911" width="20.6640625" style="204" customWidth="1"/>
    <col min="5912" max="5912" width="23.6640625" style="204" customWidth="1"/>
    <col min="5913" max="5913" width="5.44140625" style="204" customWidth="1"/>
    <col min="5914" max="6146" width="11.44140625" style="204"/>
    <col min="6147" max="6147" width="6" style="204" customWidth="1"/>
    <col min="6148" max="6148" width="15.6640625" style="204" customWidth="1"/>
    <col min="6149" max="6150" width="13.109375" style="204" customWidth="1"/>
    <col min="6151" max="6151" width="6.44140625" style="204" customWidth="1"/>
    <col min="6152" max="6152" width="6.6640625" style="204" customWidth="1"/>
    <col min="6153" max="6153" width="5" style="204" customWidth="1"/>
    <col min="6154" max="6154" width="5.6640625" style="204" customWidth="1"/>
    <col min="6155" max="6155" width="5.109375" style="204" customWidth="1"/>
    <col min="6156" max="6156" width="4.6640625" style="204" customWidth="1"/>
    <col min="6157" max="6157" width="8.109375" style="204" customWidth="1"/>
    <col min="6158" max="6158" width="10.88671875" style="204" customWidth="1"/>
    <col min="6159" max="6159" width="6.44140625" style="204" customWidth="1"/>
    <col min="6160" max="6160" width="7.44140625" style="204" customWidth="1"/>
    <col min="6161" max="6161" width="5.88671875" style="204" customWidth="1"/>
    <col min="6162" max="6162" width="6.44140625" style="204" customWidth="1"/>
    <col min="6163" max="6163" width="5.88671875" style="204" customWidth="1"/>
    <col min="6164" max="6164" width="5.109375" style="204" customWidth="1"/>
    <col min="6165" max="6165" width="12.88671875" style="204" customWidth="1"/>
    <col min="6166" max="6166" width="15" style="204" customWidth="1"/>
    <col min="6167" max="6167" width="20.6640625" style="204" customWidth="1"/>
    <col min="6168" max="6168" width="23.6640625" style="204" customWidth="1"/>
    <col min="6169" max="6169" width="5.44140625" style="204" customWidth="1"/>
    <col min="6170" max="6402" width="11.44140625" style="204"/>
    <col min="6403" max="6403" width="6" style="204" customWidth="1"/>
    <col min="6404" max="6404" width="15.6640625" style="204" customWidth="1"/>
    <col min="6405" max="6406" width="13.109375" style="204" customWidth="1"/>
    <col min="6407" max="6407" width="6.44140625" style="204" customWidth="1"/>
    <col min="6408" max="6408" width="6.6640625" style="204" customWidth="1"/>
    <col min="6409" max="6409" width="5" style="204" customWidth="1"/>
    <col min="6410" max="6410" width="5.6640625" style="204" customWidth="1"/>
    <col min="6411" max="6411" width="5.109375" style="204" customWidth="1"/>
    <col min="6412" max="6412" width="4.6640625" style="204" customWidth="1"/>
    <col min="6413" max="6413" width="8.109375" style="204" customWidth="1"/>
    <col min="6414" max="6414" width="10.88671875" style="204" customWidth="1"/>
    <col min="6415" max="6415" width="6.44140625" style="204" customWidth="1"/>
    <col min="6416" max="6416" width="7.44140625" style="204" customWidth="1"/>
    <col min="6417" max="6417" width="5.88671875" style="204" customWidth="1"/>
    <col min="6418" max="6418" width="6.44140625" style="204" customWidth="1"/>
    <col min="6419" max="6419" width="5.88671875" style="204" customWidth="1"/>
    <col min="6420" max="6420" width="5.109375" style="204" customWidth="1"/>
    <col min="6421" max="6421" width="12.88671875" style="204" customWidth="1"/>
    <col min="6422" max="6422" width="15" style="204" customWidth="1"/>
    <col min="6423" max="6423" width="20.6640625" style="204" customWidth="1"/>
    <col min="6424" max="6424" width="23.6640625" style="204" customWidth="1"/>
    <col min="6425" max="6425" width="5.44140625" style="204" customWidth="1"/>
    <col min="6426" max="6658" width="11.44140625" style="204"/>
    <col min="6659" max="6659" width="6" style="204" customWidth="1"/>
    <col min="6660" max="6660" width="15.6640625" style="204" customWidth="1"/>
    <col min="6661" max="6662" width="13.109375" style="204" customWidth="1"/>
    <col min="6663" max="6663" width="6.44140625" style="204" customWidth="1"/>
    <col min="6664" max="6664" width="6.6640625" style="204" customWidth="1"/>
    <col min="6665" max="6665" width="5" style="204" customWidth="1"/>
    <col min="6666" max="6666" width="5.6640625" style="204" customWidth="1"/>
    <col min="6667" max="6667" width="5.109375" style="204" customWidth="1"/>
    <col min="6668" max="6668" width="4.6640625" style="204" customWidth="1"/>
    <col min="6669" max="6669" width="8.109375" style="204" customWidth="1"/>
    <col min="6670" max="6670" width="10.88671875" style="204" customWidth="1"/>
    <col min="6671" max="6671" width="6.44140625" style="204" customWidth="1"/>
    <col min="6672" max="6672" width="7.44140625" style="204" customWidth="1"/>
    <col min="6673" max="6673" width="5.88671875" style="204" customWidth="1"/>
    <col min="6674" max="6674" width="6.44140625" style="204" customWidth="1"/>
    <col min="6675" max="6675" width="5.88671875" style="204" customWidth="1"/>
    <col min="6676" max="6676" width="5.109375" style="204" customWidth="1"/>
    <col min="6677" max="6677" width="12.88671875" style="204" customWidth="1"/>
    <col min="6678" max="6678" width="15" style="204" customWidth="1"/>
    <col min="6679" max="6679" width="20.6640625" style="204" customWidth="1"/>
    <col min="6680" max="6680" width="23.6640625" style="204" customWidth="1"/>
    <col min="6681" max="6681" width="5.44140625" style="204" customWidth="1"/>
    <col min="6682" max="6914" width="11.44140625" style="204"/>
    <col min="6915" max="6915" width="6" style="204" customWidth="1"/>
    <col min="6916" max="6916" width="15.6640625" style="204" customWidth="1"/>
    <col min="6917" max="6918" width="13.109375" style="204" customWidth="1"/>
    <col min="6919" max="6919" width="6.44140625" style="204" customWidth="1"/>
    <col min="6920" max="6920" width="6.6640625" style="204" customWidth="1"/>
    <col min="6921" max="6921" width="5" style="204" customWidth="1"/>
    <col min="6922" max="6922" width="5.6640625" style="204" customWidth="1"/>
    <col min="6923" max="6923" width="5.109375" style="204" customWidth="1"/>
    <col min="6924" max="6924" width="4.6640625" style="204" customWidth="1"/>
    <col min="6925" max="6925" width="8.109375" style="204" customWidth="1"/>
    <col min="6926" max="6926" width="10.88671875" style="204" customWidth="1"/>
    <col min="6927" max="6927" width="6.44140625" style="204" customWidth="1"/>
    <col min="6928" max="6928" width="7.44140625" style="204" customWidth="1"/>
    <col min="6929" max="6929" width="5.88671875" style="204" customWidth="1"/>
    <col min="6930" max="6930" width="6.44140625" style="204" customWidth="1"/>
    <col min="6931" max="6931" width="5.88671875" style="204" customWidth="1"/>
    <col min="6932" max="6932" width="5.109375" style="204" customWidth="1"/>
    <col min="6933" max="6933" width="12.88671875" style="204" customWidth="1"/>
    <col min="6934" max="6934" width="15" style="204" customWidth="1"/>
    <col min="6935" max="6935" width="20.6640625" style="204" customWidth="1"/>
    <col min="6936" max="6936" width="23.6640625" style="204" customWidth="1"/>
    <col min="6937" max="6937" width="5.44140625" style="204" customWidth="1"/>
    <col min="6938" max="7170" width="11.44140625" style="204"/>
    <col min="7171" max="7171" width="6" style="204" customWidth="1"/>
    <col min="7172" max="7172" width="15.6640625" style="204" customWidth="1"/>
    <col min="7173" max="7174" width="13.109375" style="204" customWidth="1"/>
    <col min="7175" max="7175" width="6.44140625" style="204" customWidth="1"/>
    <col min="7176" max="7176" width="6.6640625" style="204" customWidth="1"/>
    <col min="7177" max="7177" width="5" style="204" customWidth="1"/>
    <col min="7178" max="7178" width="5.6640625" style="204" customWidth="1"/>
    <col min="7179" max="7179" width="5.109375" style="204" customWidth="1"/>
    <col min="7180" max="7180" width="4.6640625" style="204" customWidth="1"/>
    <col min="7181" max="7181" width="8.109375" style="204" customWidth="1"/>
    <col min="7182" max="7182" width="10.88671875" style="204" customWidth="1"/>
    <col min="7183" max="7183" width="6.44140625" style="204" customWidth="1"/>
    <col min="7184" max="7184" width="7.44140625" style="204" customWidth="1"/>
    <col min="7185" max="7185" width="5.88671875" style="204" customWidth="1"/>
    <col min="7186" max="7186" width="6.44140625" style="204" customWidth="1"/>
    <col min="7187" max="7187" width="5.88671875" style="204" customWidth="1"/>
    <col min="7188" max="7188" width="5.109375" style="204" customWidth="1"/>
    <col min="7189" max="7189" width="12.88671875" style="204" customWidth="1"/>
    <col min="7190" max="7190" width="15" style="204" customWidth="1"/>
    <col min="7191" max="7191" width="20.6640625" style="204" customWidth="1"/>
    <col min="7192" max="7192" width="23.6640625" style="204" customWidth="1"/>
    <col min="7193" max="7193" width="5.44140625" style="204" customWidth="1"/>
    <col min="7194" max="7426" width="11.44140625" style="204"/>
    <col min="7427" max="7427" width="6" style="204" customWidth="1"/>
    <col min="7428" max="7428" width="15.6640625" style="204" customWidth="1"/>
    <col min="7429" max="7430" width="13.109375" style="204" customWidth="1"/>
    <col min="7431" max="7431" width="6.44140625" style="204" customWidth="1"/>
    <col min="7432" max="7432" width="6.6640625" style="204" customWidth="1"/>
    <col min="7433" max="7433" width="5" style="204" customWidth="1"/>
    <col min="7434" max="7434" width="5.6640625" style="204" customWidth="1"/>
    <col min="7435" max="7435" width="5.109375" style="204" customWidth="1"/>
    <col min="7436" max="7436" width="4.6640625" style="204" customWidth="1"/>
    <col min="7437" max="7437" width="8.109375" style="204" customWidth="1"/>
    <col min="7438" max="7438" width="10.88671875" style="204" customWidth="1"/>
    <col min="7439" max="7439" width="6.44140625" style="204" customWidth="1"/>
    <col min="7440" max="7440" width="7.44140625" style="204" customWidth="1"/>
    <col min="7441" max="7441" width="5.88671875" style="204" customWidth="1"/>
    <col min="7442" max="7442" width="6.44140625" style="204" customWidth="1"/>
    <col min="7443" max="7443" width="5.88671875" style="204" customWidth="1"/>
    <col min="7444" max="7444" width="5.109375" style="204" customWidth="1"/>
    <col min="7445" max="7445" width="12.88671875" style="204" customWidth="1"/>
    <col min="7446" max="7446" width="15" style="204" customWidth="1"/>
    <col min="7447" max="7447" width="20.6640625" style="204" customWidth="1"/>
    <col min="7448" max="7448" width="23.6640625" style="204" customWidth="1"/>
    <col min="7449" max="7449" width="5.44140625" style="204" customWidth="1"/>
    <col min="7450" max="7682" width="11.44140625" style="204"/>
    <col min="7683" max="7683" width="6" style="204" customWidth="1"/>
    <col min="7684" max="7684" width="15.6640625" style="204" customWidth="1"/>
    <col min="7685" max="7686" width="13.109375" style="204" customWidth="1"/>
    <col min="7687" max="7687" width="6.44140625" style="204" customWidth="1"/>
    <col min="7688" max="7688" width="6.6640625" style="204" customWidth="1"/>
    <col min="7689" max="7689" width="5" style="204" customWidth="1"/>
    <col min="7690" max="7690" width="5.6640625" style="204" customWidth="1"/>
    <col min="7691" max="7691" width="5.109375" style="204" customWidth="1"/>
    <col min="7692" max="7692" width="4.6640625" style="204" customWidth="1"/>
    <col min="7693" max="7693" width="8.109375" style="204" customWidth="1"/>
    <col min="7694" max="7694" width="10.88671875" style="204" customWidth="1"/>
    <col min="7695" max="7695" width="6.44140625" style="204" customWidth="1"/>
    <col min="7696" max="7696" width="7.44140625" style="204" customWidth="1"/>
    <col min="7697" max="7697" width="5.88671875" style="204" customWidth="1"/>
    <col min="7698" max="7698" width="6.44140625" style="204" customWidth="1"/>
    <col min="7699" max="7699" width="5.88671875" style="204" customWidth="1"/>
    <col min="7700" max="7700" width="5.109375" style="204" customWidth="1"/>
    <col min="7701" max="7701" width="12.88671875" style="204" customWidth="1"/>
    <col min="7702" max="7702" width="15" style="204" customWidth="1"/>
    <col min="7703" max="7703" width="20.6640625" style="204" customWidth="1"/>
    <col min="7704" max="7704" width="23.6640625" style="204" customWidth="1"/>
    <col min="7705" max="7705" width="5.44140625" style="204" customWidth="1"/>
    <col min="7706" max="7938" width="11.44140625" style="204"/>
    <col min="7939" max="7939" width="6" style="204" customWidth="1"/>
    <col min="7940" max="7940" width="15.6640625" style="204" customWidth="1"/>
    <col min="7941" max="7942" width="13.109375" style="204" customWidth="1"/>
    <col min="7943" max="7943" width="6.44140625" style="204" customWidth="1"/>
    <col min="7944" max="7944" width="6.6640625" style="204" customWidth="1"/>
    <col min="7945" max="7945" width="5" style="204" customWidth="1"/>
    <col min="7946" max="7946" width="5.6640625" style="204" customWidth="1"/>
    <col min="7947" max="7947" width="5.109375" style="204" customWidth="1"/>
    <col min="7948" max="7948" width="4.6640625" style="204" customWidth="1"/>
    <col min="7949" max="7949" width="8.109375" style="204" customWidth="1"/>
    <col min="7950" max="7950" width="10.88671875" style="204" customWidth="1"/>
    <col min="7951" max="7951" width="6.44140625" style="204" customWidth="1"/>
    <col min="7952" max="7952" width="7.44140625" style="204" customWidth="1"/>
    <col min="7953" max="7953" width="5.88671875" style="204" customWidth="1"/>
    <col min="7954" max="7954" width="6.44140625" style="204" customWidth="1"/>
    <col min="7955" max="7955" width="5.88671875" style="204" customWidth="1"/>
    <col min="7956" max="7956" width="5.109375" style="204" customWidth="1"/>
    <col min="7957" max="7957" width="12.88671875" style="204" customWidth="1"/>
    <col min="7958" max="7958" width="15" style="204" customWidth="1"/>
    <col min="7959" max="7959" width="20.6640625" style="204" customWidth="1"/>
    <col min="7960" max="7960" width="23.6640625" style="204" customWidth="1"/>
    <col min="7961" max="7961" width="5.44140625" style="204" customWidth="1"/>
    <col min="7962" max="8194" width="11.44140625" style="204"/>
    <col min="8195" max="8195" width="6" style="204" customWidth="1"/>
    <col min="8196" max="8196" width="15.6640625" style="204" customWidth="1"/>
    <col min="8197" max="8198" width="13.109375" style="204" customWidth="1"/>
    <col min="8199" max="8199" width="6.44140625" style="204" customWidth="1"/>
    <col min="8200" max="8200" width="6.6640625" style="204" customWidth="1"/>
    <col min="8201" max="8201" width="5" style="204" customWidth="1"/>
    <col min="8202" max="8202" width="5.6640625" style="204" customWidth="1"/>
    <col min="8203" max="8203" width="5.109375" style="204" customWidth="1"/>
    <col min="8204" max="8204" width="4.6640625" style="204" customWidth="1"/>
    <col min="8205" max="8205" width="8.109375" style="204" customWidth="1"/>
    <col min="8206" max="8206" width="10.88671875" style="204" customWidth="1"/>
    <col min="8207" max="8207" width="6.44140625" style="204" customWidth="1"/>
    <col min="8208" max="8208" width="7.44140625" style="204" customWidth="1"/>
    <col min="8209" max="8209" width="5.88671875" style="204" customWidth="1"/>
    <col min="8210" max="8210" width="6.44140625" style="204" customWidth="1"/>
    <col min="8211" max="8211" width="5.88671875" style="204" customWidth="1"/>
    <col min="8212" max="8212" width="5.109375" style="204" customWidth="1"/>
    <col min="8213" max="8213" width="12.88671875" style="204" customWidth="1"/>
    <col min="8214" max="8214" width="15" style="204" customWidth="1"/>
    <col min="8215" max="8215" width="20.6640625" style="204" customWidth="1"/>
    <col min="8216" max="8216" width="23.6640625" style="204" customWidth="1"/>
    <col min="8217" max="8217" width="5.44140625" style="204" customWidth="1"/>
    <col min="8218" max="8450" width="11.44140625" style="204"/>
    <col min="8451" max="8451" width="6" style="204" customWidth="1"/>
    <col min="8452" max="8452" width="15.6640625" style="204" customWidth="1"/>
    <col min="8453" max="8454" width="13.109375" style="204" customWidth="1"/>
    <col min="8455" max="8455" width="6.44140625" style="204" customWidth="1"/>
    <col min="8456" max="8456" width="6.6640625" style="204" customWidth="1"/>
    <col min="8457" max="8457" width="5" style="204" customWidth="1"/>
    <col min="8458" max="8458" width="5.6640625" style="204" customWidth="1"/>
    <col min="8459" max="8459" width="5.109375" style="204" customWidth="1"/>
    <col min="8460" max="8460" width="4.6640625" style="204" customWidth="1"/>
    <col min="8461" max="8461" width="8.109375" style="204" customWidth="1"/>
    <col min="8462" max="8462" width="10.88671875" style="204" customWidth="1"/>
    <col min="8463" max="8463" width="6.44140625" style="204" customWidth="1"/>
    <col min="8464" max="8464" width="7.44140625" style="204" customWidth="1"/>
    <col min="8465" max="8465" width="5.88671875" style="204" customWidth="1"/>
    <col min="8466" max="8466" width="6.44140625" style="204" customWidth="1"/>
    <col min="8467" max="8467" width="5.88671875" style="204" customWidth="1"/>
    <col min="8468" max="8468" width="5.109375" style="204" customWidth="1"/>
    <col min="8469" max="8469" width="12.88671875" style="204" customWidth="1"/>
    <col min="8470" max="8470" width="15" style="204" customWidth="1"/>
    <col min="8471" max="8471" width="20.6640625" style="204" customWidth="1"/>
    <col min="8472" max="8472" width="23.6640625" style="204" customWidth="1"/>
    <col min="8473" max="8473" width="5.44140625" style="204" customWidth="1"/>
    <col min="8474" max="8706" width="11.44140625" style="204"/>
    <col min="8707" max="8707" width="6" style="204" customWidth="1"/>
    <col min="8708" max="8708" width="15.6640625" style="204" customWidth="1"/>
    <col min="8709" max="8710" width="13.109375" style="204" customWidth="1"/>
    <col min="8711" max="8711" width="6.44140625" style="204" customWidth="1"/>
    <col min="8712" max="8712" width="6.6640625" style="204" customWidth="1"/>
    <col min="8713" max="8713" width="5" style="204" customWidth="1"/>
    <col min="8714" max="8714" width="5.6640625" style="204" customWidth="1"/>
    <col min="8715" max="8715" width="5.109375" style="204" customWidth="1"/>
    <col min="8716" max="8716" width="4.6640625" style="204" customWidth="1"/>
    <col min="8717" max="8717" width="8.109375" style="204" customWidth="1"/>
    <col min="8718" max="8718" width="10.88671875" style="204" customWidth="1"/>
    <col min="8719" max="8719" width="6.44140625" style="204" customWidth="1"/>
    <col min="8720" max="8720" width="7.44140625" style="204" customWidth="1"/>
    <col min="8721" max="8721" width="5.88671875" style="204" customWidth="1"/>
    <col min="8722" max="8722" width="6.44140625" style="204" customWidth="1"/>
    <col min="8723" max="8723" width="5.88671875" style="204" customWidth="1"/>
    <col min="8724" max="8724" width="5.109375" style="204" customWidth="1"/>
    <col min="8725" max="8725" width="12.88671875" style="204" customWidth="1"/>
    <col min="8726" max="8726" width="15" style="204" customWidth="1"/>
    <col min="8727" max="8727" width="20.6640625" style="204" customWidth="1"/>
    <col min="8728" max="8728" width="23.6640625" style="204" customWidth="1"/>
    <col min="8729" max="8729" width="5.44140625" style="204" customWidth="1"/>
    <col min="8730" max="8962" width="11.44140625" style="204"/>
    <col min="8963" max="8963" width="6" style="204" customWidth="1"/>
    <col min="8964" max="8964" width="15.6640625" style="204" customWidth="1"/>
    <col min="8965" max="8966" width="13.109375" style="204" customWidth="1"/>
    <col min="8967" max="8967" width="6.44140625" style="204" customWidth="1"/>
    <col min="8968" max="8968" width="6.6640625" style="204" customWidth="1"/>
    <col min="8969" max="8969" width="5" style="204" customWidth="1"/>
    <col min="8970" max="8970" width="5.6640625" style="204" customWidth="1"/>
    <col min="8971" max="8971" width="5.109375" style="204" customWidth="1"/>
    <col min="8972" max="8972" width="4.6640625" style="204" customWidth="1"/>
    <col min="8973" max="8973" width="8.109375" style="204" customWidth="1"/>
    <col min="8974" max="8974" width="10.88671875" style="204" customWidth="1"/>
    <col min="8975" max="8975" width="6.44140625" style="204" customWidth="1"/>
    <col min="8976" max="8976" width="7.44140625" style="204" customWidth="1"/>
    <col min="8977" max="8977" width="5.88671875" style="204" customWidth="1"/>
    <col min="8978" max="8978" width="6.44140625" style="204" customWidth="1"/>
    <col min="8979" max="8979" width="5.88671875" style="204" customWidth="1"/>
    <col min="8980" max="8980" width="5.109375" style="204" customWidth="1"/>
    <col min="8981" max="8981" width="12.88671875" style="204" customWidth="1"/>
    <col min="8982" max="8982" width="15" style="204" customWidth="1"/>
    <col min="8983" max="8983" width="20.6640625" style="204" customWidth="1"/>
    <col min="8984" max="8984" width="23.6640625" style="204" customWidth="1"/>
    <col min="8985" max="8985" width="5.44140625" style="204" customWidth="1"/>
    <col min="8986" max="9218" width="11.44140625" style="204"/>
    <col min="9219" max="9219" width="6" style="204" customWidth="1"/>
    <col min="9220" max="9220" width="15.6640625" style="204" customWidth="1"/>
    <col min="9221" max="9222" width="13.109375" style="204" customWidth="1"/>
    <col min="9223" max="9223" width="6.44140625" style="204" customWidth="1"/>
    <col min="9224" max="9224" width="6.6640625" style="204" customWidth="1"/>
    <col min="9225" max="9225" width="5" style="204" customWidth="1"/>
    <col min="9226" max="9226" width="5.6640625" style="204" customWidth="1"/>
    <col min="9227" max="9227" width="5.109375" style="204" customWidth="1"/>
    <col min="9228" max="9228" width="4.6640625" style="204" customWidth="1"/>
    <col min="9229" max="9229" width="8.109375" style="204" customWidth="1"/>
    <col min="9230" max="9230" width="10.88671875" style="204" customWidth="1"/>
    <col min="9231" max="9231" width="6.44140625" style="204" customWidth="1"/>
    <col min="9232" max="9232" width="7.44140625" style="204" customWidth="1"/>
    <col min="9233" max="9233" width="5.88671875" style="204" customWidth="1"/>
    <col min="9234" max="9234" width="6.44140625" style="204" customWidth="1"/>
    <col min="9235" max="9235" width="5.88671875" style="204" customWidth="1"/>
    <col min="9236" max="9236" width="5.109375" style="204" customWidth="1"/>
    <col min="9237" max="9237" width="12.88671875" style="204" customWidth="1"/>
    <col min="9238" max="9238" width="15" style="204" customWidth="1"/>
    <col min="9239" max="9239" width="20.6640625" style="204" customWidth="1"/>
    <col min="9240" max="9240" width="23.6640625" style="204" customWidth="1"/>
    <col min="9241" max="9241" width="5.44140625" style="204" customWidth="1"/>
    <col min="9242" max="9474" width="11.44140625" style="204"/>
    <col min="9475" max="9475" width="6" style="204" customWidth="1"/>
    <col min="9476" max="9476" width="15.6640625" style="204" customWidth="1"/>
    <col min="9477" max="9478" width="13.109375" style="204" customWidth="1"/>
    <col min="9479" max="9479" width="6.44140625" style="204" customWidth="1"/>
    <col min="9480" max="9480" width="6.6640625" style="204" customWidth="1"/>
    <col min="9481" max="9481" width="5" style="204" customWidth="1"/>
    <col min="9482" max="9482" width="5.6640625" style="204" customWidth="1"/>
    <col min="9483" max="9483" width="5.109375" style="204" customWidth="1"/>
    <col min="9484" max="9484" width="4.6640625" style="204" customWidth="1"/>
    <col min="9485" max="9485" width="8.109375" style="204" customWidth="1"/>
    <col min="9486" max="9486" width="10.88671875" style="204" customWidth="1"/>
    <col min="9487" max="9487" width="6.44140625" style="204" customWidth="1"/>
    <col min="9488" max="9488" width="7.44140625" style="204" customWidth="1"/>
    <col min="9489" max="9489" width="5.88671875" style="204" customWidth="1"/>
    <col min="9490" max="9490" width="6.44140625" style="204" customWidth="1"/>
    <col min="9491" max="9491" width="5.88671875" style="204" customWidth="1"/>
    <col min="9492" max="9492" width="5.109375" style="204" customWidth="1"/>
    <col min="9493" max="9493" width="12.88671875" style="204" customWidth="1"/>
    <col min="9494" max="9494" width="15" style="204" customWidth="1"/>
    <col min="9495" max="9495" width="20.6640625" style="204" customWidth="1"/>
    <col min="9496" max="9496" width="23.6640625" style="204" customWidth="1"/>
    <col min="9497" max="9497" width="5.44140625" style="204" customWidth="1"/>
    <col min="9498" max="9730" width="11.44140625" style="204"/>
    <col min="9731" max="9731" width="6" style="204" customWidth="1"/>
    <col min="9732" max="9732" width="15.6640625" style="204" customWidth="1"/>
    <col min="9733" max="9734" width="13.109375" style="204" customWidth="1"/>
    <col min="9735" max="9735" width="6.44140625" style="204" customWidth="1"/>
    <col min="9736" max="9736" width="6.6640625" style="204" customWidth="1"/>
    <col min="9737" max="9737" width="5" style="204" customWidth="1"/>
    <col min="9738" max="9738" width="5.6640625" style="204" customWidth="1"/>
    <col min="9739" max="9739" width="5.109375" style="204" customWidth="1"/>
    <col min="9740" max="9740" width="4.6640625" style="204" customWidth="1"/>
    <col min="9741" max="9741" width="8.109375" style="204" customWidth="1"/>
    <col min="9742" max="9742" width="10.88671875" style="204" customWidth="1"/>
    <col min="9743" max="9743" width="6.44140625" style="204" customWidth="1"/>
    <col min="9744" max="9744" width="7.44140625" style="204" customWidth="1"/>
    <col min="9745" max="9745" width="5.88671875" style="204" customWidth="1"/>
    <col min="9746" max="9746" width="6.44140625" style="204" customWidth="1"/>
    <col min="9747" max="9747" width="5.88671875" style="204" customWidth="1"/>
    <col min="9748" max="9748" width="5.109375" style="204" customWidth="1"/>
    <col min="9749" max="9749" width="12.88671875" style="204" customWidth="1"/>
    <col min="9750" max="9750" width="15" style="204" customWidth="1"/>
    <col min="9751" max="9751" width="20.6640625" style="204" customWidth="1"/>
    <col min="9752" max="9752" width="23.6640625" style="204" customWidth="1"/>
    <col min="9753" max="9753" width="5.44140625" style="204" customWidth="1"/>
    <col min="9754" max="9986" width="11.44140625" style="204"/>
    <col min="9987" max="9987" width="6" style="204" customWidth="1"/>
    <col min="9988" max="9988" width="15.6640625" style="204" customWidth="1"/>
    <col min="9989" max="9990" width="13.109375" style="204" customWidth="1"/>
    <col min="9991" max="9991" width="6.44140625" style="204" customWidth="1"/>
    <col min="9992" max="9992" width="6.6640625" style="204" customWidth="1"/>
    <col min="9993" max="9993" width="5" style="204" customWidth="1"/>
    <col min="9994" max="9994" width="5.6640625" style="204" customWidth="1"/>
    <col min="9995" max="9995" width="5.109375" style="204" customWidth="1"/>
    <col min="9996" max="9996" width="4.6640625" style="204" customWidth="1"/>
    <col min="9997" max="9997" width="8.109375" style="204" customWidth="1"/>
    <col min="9998" max="9998" width="10.88671875" style="204" customWidth="1"/>
    <col min="9999" max="9999" width="6.44140625" style="204" customWidth="1"/>
    <col min="10000" max="10000" width="7.44140625" style="204" customWidth="1"/>
    <col min="10001" max="10001" width="5.88671875" style="204" customWidth="1"/>
    <col min="10002" max="10002" width="6.44140625" style="204" customWidth="1"/>
    <col min="10003" max="10003" width="5.88671875" style="204" customWidth="1"/>
    <col min="10004" max="10004" width="5.109375" style="204" customWidth="1"/>
    <col min="10005" max="10005" width="12.88671875" style="204" customWidth="1"/>
    <col min="10006" max="10006" width="15" style="204" customWidth="1"/>
    <col min="10007" max="10007" width="20.6640625" style="204" customWidth="1"/>
    <col min="10008" max="10008" width="23.6640625" style="204" customWidth="1"/>
    <col min="10009" max="10009" width="5.44140625" style="204" customWidth="1"/>
    <col min="10010" max="10242" width="11.44140625" style="204"/>
    <col min="10243" max="10243" width="6" style="204" customWidth="1"/>
    <col min="10244" max="10244" width="15.6640625" style="204" customWidth="1"/>
    <col min="10245" max="10246" width="13.109375" style="204" customWidth="1"/>
    <col min="10247" max="10247" width="6.44140625" style="204" customWidth="1"/>
    <col min="10248" max="10248" width="6.6640625" style="204" customWidth="1"/>
    <col min="10249" max="10249" width="5" style="204" customWidth="1"/>
    <col min="10250" max="10250" width="5.6640625" style="204" customWidth="1"/>
    <col min="10251" max="10251" width="5.109375" style="204" customWidth="1"/>
    <col min="10252" max="10252" width="4.6640625" style="204" customWidth="1"/>
    <col min="10253" max="10253" width="8.109375" style="204" customWidth="1"/>
    <col min="10254" max="10254" width="10.88671875" style="204" customWidth="1"/>
    <col min="10255" max="10255" width="6.44140625" style="204" customWidth="1"/>
    <col min="10256" max="10256" width="7.44140625" style="204" customWidth="1"/>
    <col min="10257" max="10257" width="5.88671875" style="204" customWidth="1"/>
    <col min="10258" max="10258" width="6.44140625" style="204" customWidth="1"/>
    <col min="10259" max="10259" width="5.88671875" style="204" customWidth="1"/>
    <col min="10260" max="10260" width="5.109375" style="204" customWidth="1"/>
    <col min="10261" max="10261" width="12.88671875" style="204" customWidth="1"/>
    <col min="10262" max="10262" width="15" style="204" customWidth="1"/>
    <col min="10263" max="10263" width="20.6640625" style="204" customWidth="1"/>
    <col min="10264" max="10264" width="23.6640625" style="204" customWidth="1"/>
    <col min="10265" max="10265" width="5.44140625" style="204" customWidth="1"/>
    <col min="10266" max="10498" width="11.44140625" style="204"/>
    <col min="10499" max="10499" width="6" style="204" customWidth="1"/>
    <col min="10500" max="10500" width="15.6640625" style="204" customWidth="1"/>
    <col min="10501" max="10502" width="13.109375" style="204" customWidth="1"/>
    <col min="10503" max="10503" width="6.44140625" style="204" customWidth="1"/>
    <col min="10504" max="10504" width="6.6640625" style="204" customWidth="1"/>
    <col min="10505" max="10505" width="5" style="204" customWidth="1"/>
    <col min="10506" max="10506" width="5.6640625" style="204" customWidth="1"/>
    <col min="10507" max="10507" width="5.109375" style="204" customWidth="1"/>
    <col min="10508" max="10508" width="4.6640625" style="204" customWidth="1"/>
    <col min="10509" max="10509" width="8.109375" style="204" customWidth="1"/>
    <col min="10510" max="10510" width="10.88671875" style="204" customWidth="1"/>
    <col min="10511" max="10511" width="6.44140625" style="204" customWidth="1"/>
    <col min="10512" max="10512" width="7.44140625" style="204" customWidth="1"/>
    <col min="10513" max="10513" width="5.88671875" style="204" customWidth="1"/>
    <col min="10514" max="10514" width="6.44140625" style="204" customWidth="1"/>
    <col min="10515" max="10515" width="5.88671875" style="204" customWidth="1"/>
    <col min="10516" max="10516" width="5.109375" style="204" customWidth="1"/>
    <col min="10517" max="10517" width="12.88671875" style="204" customWidth="1"/>
    <col min="10518" max="10518" width="15" style="204" customWidth="1"/>
    <col min="10519" max="10519" width="20.6640625" style="204" customWidth="1"/>
    <col min="10520" max="10520" width="23.6640625" style="204" customWidth="1"/>
    <col min="10521" max="10521" width="5.44140625" style="204" customWidth="1"/>
    <col min="10522" max="10754" width="11.44140625" style="204"/>
    <col min="10755" max="10755" width="6" style="204" customWidth="1"/>
    <col min="10756" max="10756" width="15.6640625" style="204" customWidth="1"/>
    <col min="10757" max="10758" width="13.109375" style="204" customWidth="1"/>
    <col min="10759" max="10759" width="6.44140625" style="204" customWidth="1"/>
    <col min="10760" max="10760" width="6.6640625" style="204" customWidth="1"/>
    <col min="10761" max="10761" width="5" style="204" customWidth="1"/>
    <col min="10762" max="10762" width="5.6640625" style="204" customWidth="1"/>
    <col min="10763" max="10763" width="5.109375" style="204" customWidth="1"/>
    <col min="10764" max="10764" width="4.6640625" style="204" customWidth="1"/>
    <col min="10765" max="10765" width="8.109375" style="204" customWidth="1"/>
    <col min="10766" max="10766" width="10.88671875" style="204" customWidth="1"/>
    <col min="10767" max="10767" width="6.44140625" style="204" customWidth="1"/>
    <col min="10768" max="10768" width="7.44140625" style="204" customWidth="1"/>
    <col min="10769" max="10769" width="5.88671875" style="204" customWidth="1"/>
    <col min="10770" max="10770" width="6.44140625" style="204" customWidth="1"/>
    <col min="10771" max="10771" width="5.88671875" style="204" customWidth="1"/>
    <col min="10772" max="10772" width="5.109375" style="204" customWidth="1"/>
    <col min="10773" max="10773" width="12.88671875" style="204" customWidth="1"/>
    <col min="10774" max="10774" width="15" style="204" customWidth="1"/>
    <col min="10775" max="10775" width="20.6640625" style="204" customWidth="1"/>
    <col min="10776" max="10776" width="23.6640625" style="204" customWidth="1"/>
    <col min="10777" max="10777" width="5.44140625" style="204" customWidth="1"/>
    <col min="10778" max="11010" width="11.44140625" style="204"/>
    <col min="11011" max="11011" width="6" style="204" customWidth="1"/>
    <col min="11012" max="11012" width="15.6640625" style="204" customWidth="1"/>
    <col min="11013" max="11014" width="13.109375" style="204" customWidth="1"/>
    <col min="11015" max="11015" width="6.44140625" style="204" customWidth="1"/>
    <col min="11016" max="11016" width="6.6640625" style="204" customWidth="1"/>
    <col min="11017" max="11017" width="5" style="204" customWidth="1"/>
    <col min="11018" max="11018" width="5.6640625" style="204" customWidth="1"/>
    <col min="11019" max="11019" width="5.109375" style="204" customWidth="1"/>
    <col min="11020" max="11020" width="4.6640625" style="204" customWidth="1"/>
    <col min="11021" max="11021" width="8.109375" style="204" customWidth="1"/>
    <col min="11022" max="11022" width="10.88671875" style="204" customWidth="1"/>
    <col min="11023" max="11023" width="6.44140625" style="204" customWidth="1"/>
    <col min="11024" max="11024" width="7.44140625" style="204" customWidth="1"/>
    <col min="11025" max="11025" width="5.88671875" style="204" customWidth="1"/>
    <col min="11026" max="11026" width="6.44140625" style="204" customWidth="1"/>
    <col min="11027" max="11027" width="5.88671875" style="204" customWidth="1"/>
    <col min="11028" max="11028" width="5.109375" style="204" customWidth="1"/>
    <col min="11029" max="11029" width="12.88671875" style="204" customWidth="1"/>
    <col min="11030" max="11030" width="15" style="204" customWidth="1"/>
    <col min="11031" max="11031" width="20.6640625" style="204" customWidth="1"/>
    <col min="11032" max="11032" width="23.6640625" style="204" customWidth="1"/>
    <col min="11033" max="11033" width="5.44140625" style="204" customWidth="1"/>
    <col min="11034" max="11266" width="11.44140625" style="204"/>
    <col min="11267" max="11267" width="6" style="204" customWidth="1"/>
    <col min="11268" max="11268" width="15.6640625" style="204" customWidth="1"/>
    <col min="11269" max="11270" width="13.109375" style="204" customWidth="1"/>
    <col min="11271" max="11271" width="6.44140625" style="204" customWidth="1"/>
    <col min="11272" max="11272" width="6.6640625" style="204" customWidth="1"/>
    <col min="11273" max="11273" width="5" style="204" customWidth="1"/>
    <col min="11274" max="11274" width="5.6640625" style="204" customWidth="1"/>
    <col min="11275" max="11275" width="5.109375" style="204" customWidth="1"/>
    <col min="11276" max="11276" width="4.6640625" style="204" customWidth="1"/>
    <col min="11277" max="11277" width="8.109375" style="204" customWidth="1"/>
    <col min="11278" max="11278" width="10.88671875" style="204" customWidth="1"/>
    <col min="11279" max="11279" width="6.44140625" style="204" customWidth="1"/>
    <col min="11280" max="11280" width="7.44140625" style="204" customWidth="1"/>
    <col min="11281" max="11281" width="5.88671875" style="204" customWidth="1"/>
    <col min="11282" max="11282" width="6.44140625" style="204" customWidth="1"/>
    <col min="11283" max="11283" width="5.88671875" style="204" customWidth="1"/>
    <col min="11284" max="11284" width="5.109375" style="204" customWidth="1"/>
    <col min="11285" max="11285" width="12.88671875" style="204" customWidth="1"/>
    <col min="11286" max="11286" width="15" style="204" customWidth="1"/>
    <col min="11287" max="11287" width="20.6640625" style="204" customWidth="1"/>
    <col min="11288" max="11288" width="23.6640625" style="204" customWidth="1"/>
    <col min="11289" max="11289" width="5.44140625" style="204" customWidth="1"/>
    <col min="11290" max="11522" width="11.44140625" style="204"/>
    <col min="11523" max="11523" width="6" style="204" customWidth="1"/>
    <col min="11524" max="11524" width="15.6640625" style="204" customWidth="1"/>
    <col min="11525" max="11526" width="13.109375" style="204" customWidth="1"/>
    <col min="11527" max="11527" width="6.44140625" style="204" customWidth="1"/>
    <col min="11528" max="11528" width="6.6640625" style="204" customWidth="1"/>
    <col min="11529" max="11529" width="5" style="204" customWidth="1"/>
    <col min="11530" max="11530" width="5.6640625" style="204" customWidth="1"/>
    <col min="11531" max="11531" width="5.109375" style="204" customWidth="1"/>
    <col min="11532" max="11532" width="4.6640625" style="204" customWidth="1"/>
    <col min="11533" max="11533" width="8.109375" style="204" customWidth="1"/>
    <col min="11534" max="11534" width="10.88671875" style="204" customWidth="1"/>
    <col min="11535" max="11535" width="6.44140625" style="204" customWidth="1"/>
    <col min="11536" max="11536" width="7.44140625" style="204" customWidth="1"/>
    <col min="11537" max="11537" width="5.88671875" style="204" customWidth="1"/>
    <col min="11538" max="11538" width="6.44140625" style="204" customWidth="1"/>
    <col min="11539" max="11539" width="5.88671875" style="204" customWidth="1"/>
    <col min="11540" max="11540" width="5.109375" style="204" customWidth="1"/>
    <col min="11541" max="11541" width="12.88671875" style="204" customWidth="1"/>
    <col min="11542" max="11542" width="15" style="204" customWidth="1"/>
    <col min="11543" max="11543" width="20.6640625" style="204" customWidth="1"/>
    <col min="11544" max="11544" width="23.6640625" style="204" customWidth="1"/>
    <col min="11545" max="11545" width="5.44140625" style="204" customWidth="1"/>
    <col min="11546" max="11778" width="11.44140625" style="204"/>
    <col min="11779" max="11779" width="6" style="204" customWidth="1"/>
    <col min="11780" max="11780" width="15.6640625" style="204" customWidth="1"/>
    <col min="11781" max="11782" width="13.109375" style="204" customWidth="1"/>
    <col min="11783" max="11783" width="6.44140625" style="204" customWidth="1"/>
    <col min="11784" max="11784" width="6.6640625" style="204" customWidth="1"/>
    <col min="11785" max="11785" width="5" style="204" customWidth="1"/>
    <col min="11786" max="11786" width="5.6640625" style="204" customWidth="1"/>
    <col min="11787" max="11787" width="5.109375" style="204" customWidth="1"/>
    <col min="11788" max="11788" width="4.6640625" style="204" customWidth="1"/>
    <col min="11789" max="11789" width="8.109375" style="204" customWidth="1"/>
    <col min="11790" max="11790" width="10.88671875" style="204" customWidth="1"/>
    <col min="11791" max="11791" width="6.44140625" style="204" customWidth="1"/>
    <col min="11792" max="11792" width="7.44140625" style="204" customWidth="1"/>
    <col min="11793" max="11793" width="5.88671875" style="204" customWidth="1"/>
    <col min="11794" max="11794" width="6.44140625" style="204" customWidth="1"/>
    <col min="11795" max="11795" width="5.88671875" style="204" customWidth="1"/>
    <col min="11796" max="11796" width="5.109375" style="204" customWidth="1"/>
    <col min="11797" max="11797" width="12.88671875" style="204" customWidth="1"/>
    <col min="11798" max="11798" width="15" style="204" customWidth="1"/>
    <col min="11799" max="11799" width="20.6640625" style="204" customWidth="1"/>
    <col min="11800" max="11800" width="23.6640625" style="204" customWidth="1"/>
    <col min="11801" max="11801" width="5.44140625" style="204" customWidth="1"/>
    <col min="11802" max="12034" width="11.44140625" style="204"/>
    <col min="12035" max="12035" width="6" style="204" customWidth="1"/>
    <col min="12036" max="12036" width="15.6640625" style="204" customWidth="1"/>
    <col min="12037" max="12038" width="13.109375" style="204" customWidth="1"/>
    <col min="12039" max="12039" width="6.44140625" style="204" customWidth="1"/>
    <col min="12040" max="12040" width="6.6640625" style="204" customWidth="1"/>
    <col min="12041" max="12041" width="5" style="204" customWidth="1"/>
    <col min="12042" max="12042" width="5.6640625" style="204" customWidth="1"/>
    <col min="12043" max="12043" width="5.109375" style="204" customWidth="1"/>
    <col min="12044" max="12044" width="4.6640625" style="204" customWidth="1"/>
    <col min="12045" max="12045" width="8.109375" style="204" customWidth="1"/>
    <col min="12046" max="12046" width="10.88671875" style="204" customWidth="1"/>
    <col min="12047" max="12047" width="6.44140625" style="204" customWidth="1"/>
    <col min="12048" max="12048" width="7.44140625" style="204" customWidth="1"/>
    <col min="12049" max="12049" width="5.88671875" style="204" customWidth="1"/>
    <col min="12050" max="12050" width="6.44140625" style="204" customWidth="1"/>
    <col min="12051" max="12051" width="5.88671875" style="204" customWidth="1"/>
    <col min="12052" max="12052" width="5.109375" style="204" customWidth="1"/>
    <col min="12053" max="12053" width="12.88671875" style="204" customWidth="1"/>
    <col min="12054" max="12054" width="15" style="204" customWidth="1"/>
    <col min="12055" max="12055" width="20.6640625" style="204" customWidth="1"/>
    <col min="12056" max="12056" width="23.6640625" style="204" customWidth="1"/>
    <col min="12057" max="12057" width="5.44140625" style="204" customWidth="1"/>
    <col min="12058" max="12290" width="11.44140625" style="204"/>
    <col min="12291" max="12291" width="6" style="204" customWidth="1"/>
    <col min="12292" max="12292" width="15.6640625" style="204" customWidth="1"/>
    <col min="12293" max="12294" width="13.109375" style="204" customWidth="1"/>
    <col min="12295" max="12295" width="6.44140625" style="204" customWidth="1"/>
    <col min="12296" max="12296" width="6.6640625" style="204" customWidth="1"/>
    <col min="12297" max="12297" width="5" style="204" customWidth="1"/>
    <col min="12298" max="12298" width="5.6640625" style="204" customWidth="1"/>
    <col min="12299" max="12299" width="5.109375" style="204" customWidth="1"/>
    <col min="12300" max="12300" width="4.6640625" style="204" customWidth="1"/>
    <col min="12301" max="12301" width="8.109375" style="204" customWidth="1"/>
    <col min="12302" max="12302" width="10.88671875" style="204" customWidth="1"/>
    <col min="12303" max="12303" width="6.44140625" style="204" customWidth="1"/>
    <col min="12304" max="12304" width="7.44140625" style="204" customWidth="1"/>
    <col min="12305" max="12305" width="5.88671875" style="204" customWidth="1"/>
    <col min="12306" max="12306" width="6.44140625" style="204" customWidth="1"/>
    <col min="12307" max="12307" width="5.88671875" style="204" customWidth="1"/>
    <col min="12308" max="12308" width="5.109375" style="204" customWidth="1"/>
    <col min="12309" max="12309" width="12.88671875" style="204" customWidth="1"/>
    <col min="12310" max="12310" width="15" style="204" customWidth="1"/>
    <col min="12311" max="12311" width="20.6640625" style="204" customWidth="1"/>
    <col min="12312" max="12312" width="23.6640625" style="204" customWidth="1"/>
    <col min="12313" max="12313" width="5.44140625" style="204" customWidth="1"/>
    <col min="12314" max="12546" width="11.44140625" style="204"/>
    <col min="12547" max="12547" width="6" style="204" customWidth="1"/>
    <col min="12548" max="12548" width="15.6640625" style="204" customWidth="1"/>
    <col min="12549" max="12550" width="13.109375" style="204" customWidth="1"/>
    <col min="12551" max="12551" width="6.44140625" style="204" customWidth="1"/>
    <col min="12552" max="12552" width="6.6640625" style="204" customWidth="1"/>
    <col min="12553" max="12553" width="5" style="204" customWidth="1"/>
    <col min="12554" max="12554" width="5.6640625" style="204" customWidth="1"/>
    <col min="12555" max="12555" width="5.109375" style="204" customWidth="1"/>
    <col min="12556" max="12556" width="4.6640625" style="204" customWidth="1"/>
    <col min="12557" max="12557" width="8.109375" style="204" customWidth="1"/>
    <col min="12558" max="12558" width="10.88671875" style="204" customWidth="1"/>
    <col min="12559" max="12559" width="6.44140625" style="204" customWidth="1"/>
    <col min="12560" max="12560" width="7.44140625" style="204" customWidth="1"/>
    <col min="12561" max="12561" width="5.88671875" style="204" customWidth="1"/>
    <col min="12562" max="12562" width="6.44140625" style="204" customWidth="1"/>
    <col min="12563" max="12563" width="5.88671875" style="204" customWidth="1"/>
    <col min="12564" max="12564" width="5.109375" style="204" customWidth="1"/>
    <col min="12565" max="12565" width="12.88671875" style="204" customWidth="1"/>
    <col min="12566" max="12566" width="15" style="204" customWidth="1"/>
    <col min="12567" max="12567" width="20.6640625" style="204" customWidth="1"/>
    <col min="12568" max="12568" width="23.6640625" style="204" customWidth="1"/>
    <col min="12569" max="12569" width="5.44140625" style="204" customWidth="1"/>
    <col min="12570" max="12802" width="11.44140625" style="204"/>
    <col min="12803" max="12803" width="6" style="204" customWidth="1"/>
    <col min="12804" max="12804" width="15.6640625" style="204" customWidth="1"/>
    <col min="12805" max="12806" width="13.109375" style="204" customWidth="1"/>
    <col min="12807" max="12807" width="6.44140625" style="204" customWidth="1"/>
    <col min="12808" max="12808" width="6.6640625" style="204" customWidth="1"/>
    <col min="12809" max="12809" width="5" style="204" customWidth="1"/>
    <col min="12810" max="12810" width="5.6640625" style="204" customWidth="1"/>
    <col min="12811" max="12811" width="5.109375" style="204" customWidth="1"/>
    <col min="12812" max="12812" width="4.6640625" style="204" customWidth="1"/>
    <col min="12813" max="12813" width="8.109375" style="204" customWidth="1"/>
    <col min="12814" max="12814" width="10.88671875" style="204" customWidth="1"/>
    <col min="12815" max="12815" width="6.44140625" style="204" customWidth="1"/>
    <col min="12816" max="12816" width="7.44140625" style="204" customWidth="1"/>
    <col min="12817" max="12817" width="5.88671875" style="204" customWidth="1"/>
    <col min="12818" max="12818" width="6.44140625" style="204" customWidth="1"/>
    <col min="12819" max="12819" width="5.88671875" style="204" customWidth="1"/>
    <col min="12820" max="12820" width="5.109375" style="204" customWidth="1"/>
    <col min="12821" max="12821" width="12.88671875" style="204" customWidth="1"/>
    <col min="12822" max="12822" width="15" style="204" customWidth="1"/>
    <col min="12823" max="12823" width="20.6640625" style="204" customWidth="1"/>
    <col min="12824" max="12824" width="23.6640625" style="204" customWidth="1"/>
    <col min="12825" max="12825" width="5.44140625" style="204" customWidth="1"/>
    <col min="12826" max="13058" width="11.44140625" style="204"/>
    <col min="13059" max="13059" width="6" style="204" customWidth="1"/>
    <col min="13060" max="13060" width="15.6640625" style="204" customWidth="1"/>
    <col min="13061" max="13062" width="13.109375" style="204" customWidth="1"/>
    <col min="13063" max="13063" width="6.44140625" style="204" customWidth="1"/>
    <col min="13064" max="13064" width="6.6640625" style="204" customWidth="1"/>
    <col min="13065" max="13065" width="5" style="204" customWidth="1"/>
    <col min="13066" max="13066" width="5.6640625" style="204" customWidth="1"/>
    <col min="13067" max="13067" width="5.109375" style="204" customWidth="1"/>
    <col min="13068" max="13068" width="4.6640625" style="204" customWidth="1"/>
    <col min="13069" max="13069" width="8.109375" style="204" customWidth="1"/>
    <col min="13070" max="13070" width="10.88671875" style="204" customWidth="1"/>
    <col min="13071" max="13071" width="6.44140625" style="204" customWidth="1"/>
    <col min="13072" max="13072" width="7.44140625" style="204" customWidth="1"/>
    <col min="13073" max="13073" width="5.88671875" style="204" customWidth="1"/>
    <col min="13074" max="13074" width="6.44140625" style="204" customWidth="1"/>
    <col min="13075" max="13075" width="5.88671875" style="204" customWidth="1"/>
    <col min="13076" max="13076" width="5.109375" style="204" customWidth="1"/>
    <col min="13077" max="13077" width="12.88671875" style="204" customWidth="1"/>
    <col min="13078" max="13078" width="15" style="204" customWidth="1"/>
    <col min="13079" max="13079" width="20.6640625" style="204" customWidth="1"/>
    <col min="13080" max="13080" width="23.6640625" style="204" customWidth="1"/>
    <col min="13081" max="13081" width="5.44140625" style="204" customWidth="1"/>
    <col min="13082" max="13314" width="11.44140625" style="204"/>
    <col min="13315" max="13315" width="6" style="204" customWidth="1"/>
    <col min="13316" max="13316" width="15.6640625" style="204" customWidth="1"/>
    <col min="13317" max="13318" width="13.109375" style="204" customWidth="1"/>
    <col min="13319" max="13319" width="6.44140625" style="204" customWidth="1"/>
    <col min="13320" max="13320" width="6.6640625" style="204" customWidth="1"/>
    <col min="13321" max="13321" width="5" style="204" customWidth="1"/>
    <col min="13322" max="13322" width="5.6640625" style="204" customWidth="1"/>
    <col min="13323" max="13323" width="5.109375" style="204" customWidth="1"/>
    <col min="13324" max="13324" width="4.6640625" style="204" customWidth="1"/>
    <col min="13325" max="13325" width="8.109375" style="204" customWidth="1"/>
    <col min="13326" max="13326" width="10.88671875" style="204" customWidth="1"/>
    <col min="13327" max="13327" width="6.44140625" style="204" customWidth="1"/>
    <col min="13328" max="13328" width="7.44140625" style="204" customWidth="1"/>
    <col min="13329" max="13329" width="5.88671875" style="204" customWidth="1"/>
    <col min="13330" max="13330" width="6.44140625" style="204" customWidth="1"/>
    <col min="13331" max="13331" width="5.88671875" style="204" customWidth="1"/>
    <col min="13332" max="13332" width="5.109375" style="204" customWidth="1"/>
    <col min="13333" max="13333" width="12.88671875" style="204" customWidth="1"/>
    <col min="13334" max="13334" width="15" style="204" customWidth="1"/>
    <col min="13335" max="13335" width="20.6640625" style="204" customWidth="1"/>
    <col min="13336" max="13336" width="23.6640625" style="204" customWidth="1"/>
    <col min="13337" max="13337" width="5.44140625" style="204" customWidth="1"/>
    <col min="13338" max="13570" width="11.44140625" style="204"/>
    <col min="13571" max="13571" width="6" style="204" customWidth="1"/>
    <col min="13572" max="13572" width="15.6640625" style="204" customWidth="1"/>
    <col min="13573" max="13574" width="13.109375" style="204" customWidth="1"/>
    <col min="13575" max="13575" width="6.44140625" style="204" customWidth="1"/>
    <col min="13576" max="13576" width="6.6640625" style="204" customWidth="1"/>
    <col min="13577" max="13577" width="5" style="204" customWidth="1"/>
    <col min="13578" max="13578" width="5.6640625" style="204" customWidth="1"/>
    <col min="13579" max="13579" width="5.109375" style="204" customWidth="1"/>
    <col min="13580" max="13580" width="4.6640625" style="204" customWidth="1"/>
    <col min="13581" max="13581" width="8.109375" style="204" customWidth="1"/>
    <col min="13582" max="13582" width="10.88671875" style="204" customWidth="1"/>
    <col min="13583" max="13583" width="6.44140625" style="204" customWidth="1"/>
    <col min="13584" max="13584" width="7.44140625" style="204" customWidth="1"/>
    <col min="13585" max="13585" width="5.88671875" style="204" customWidth="1"/>
    <col min="13586" max="13586" width="6.44140625" style="204" customWidth="1"/>
    <col min="13587" max="13587" width="5.88671875" style="204" customWidth="1"/>
    <col min="13588" max="13588" width="5.109375" style="204" customWidth="1"/>
    <col min="13589" max="13589" width="12.88671875" style="204" customWidth="1"/>
    <col min="13590" max="13590" width="15" style="204" customWidth="1"/>
    <col min="13591" max="13591" width="20.6640625" style="204" customWidth="1"/>
    <col min="13592" max="13592" width="23.6640625" style="204" customWidth="1"/>
    <col min="13593" max="13593" width="5.44140625" style="204" customWidth="1"/>
    <col min="13594" max="13826" width="11.44140625" style="204"/>
    <col min="13827" max="13827" width="6" style="204" customWidth="1"/>
    <col min="13828" max="13828" width="15.6640625" style="204" customWidth="1"/>
    <col min="13829" max="13830" width="13.109375" style="204" customWidth="1"/>
    <col min="13831" max="13831" width="6.44140625" style="204" customWidth="1"/>
    <col min="13832" max="13832" width="6.6640625" style="204" customWidth="1"/>
    <col min="13833" max="13833" width="5" style="204" customWidth="1"/>
    <col min="13834" max="13834" width="5.6640625" style="204" customWidth="1"/>
    <col min="13835" max="13835" width="5.109375" style="204" customWidth="1"/>
    <col min="13836" max="13836" width="4.6640625" style="204" customWidth="1"/>
    <col min="13837" max="13837" width="8.109375" style="204" customWidth="1"/>
    <col min="13838" max="13838" width="10.88671875" style="204" customWidth="1"/>
    <col min="13839" max="13839" width="6.44140625" style="204" customWidth="1"/>
    <col min="13840" max="13840" width="7.44140625" style="204" customWidth="1"/>
    <col min="13841" max="13841" width="5.88671875" style="204" customWidth="1"/>
    <col min="13842" max="13842" width="6.44140625" style="204" customWidth="1"/>
    <col min="13843" max="13843" width="5.88671875" style="204" customWidth="1"/>
    <col min="13844" max="13844" width="5.109375" style="204" customWidth="1"/>
    <col min="13845" max="13845" width="12.88671875" style="204" customWidth="1"/>
    <col min="13846" max="13846" width="15" style="204" customWidth="1"/>
    <col min="13847" max="13847" width="20.6640625" style="204" customWidth="1"/>
    <col min="13848" max="13848" width="23.6640625" style="204" customWidth="1"/>
    <col min="13849" max="13849" width="5.44140625" style="204" customWidth="1"/>
    <col min="13850" max="14082" width="11.44140625" style="204"/>
    <col min="14083" max="14083" width="6" style="204" customWidth="1"/>
    <col min="14084" max="14084" width="15.6640625" style="204" customWidth="1"/>
    <col min="14085" max="14086" width="13.109375" style="204" customWidth="1"/>
    <col min="14087" max="14087" width="6.44140625" style="204" customWidth="1"/>
    <col min="14088" max="14088" width="6.6640625" style="204" customWidth="1"/>
    <col min="14089" max="14089" width="5" style="204" customWidth="1"/>
    <col min="14090" max="14090" width="5.6640625" style="204" customWidth="1"/>
    <col min="14091" max="14091" width="5.109375" style="204" customWidth="1"/>
    <col min="14092" max="14092" width="4.6640625" style="204" customWidth="1"/>
    <col min="14093" max="14093" width="8.109375" style="204" customWidth="1"/>
    <col min="14094" max="14094" width="10.88671875" style="204" customWidth="1"/>
    <col min="14095" max="14095" width="6.44140625" style="204" customWidth="1"/>
    <col min="14096" max="14096" width="7.44140625" style="204" customWidth="1"/>
    <col min="14097" max="14097" width="5.88671875" style="204" customWidth="1"/>
    <col min="14098" max="14098" width="6.44140625" style="204" customWidth="1"/>
    <col min="14099" max="14099" width="5.88671875" style="204" customWidth="1"/>
    <col min="14100" max="14100" width="5.109375" style="204" customWidth="1"/>
    <col min="14101" max="14101" width="12.88671875" style="204" customWidth="1"/>
    <col min="14102" max="14102" width="15" style="204" customWidth="1"/>
    <col min="14103" max="14103" width="20.6640625" style="204" customWidth="1"/>
    <col min="14104" max="14104" width="23.6640625" style="204" customWidth="1"/>
    <col min="14105" max="14105" width="5.44140625" style="204" customWidth="1"/>
    <col min="14106" max="14338" width="11.44140625" style="204"/>
    <col min="14339" max="14339" width="6" style="204" customWidth="1"/>
    <col min="14340" max="14340" width="15.6640625" style="204" customWidth="1"/>
    <col min="14341" max="14342" width="13.109375" style="204" customWidth="1"/>
    <col min="14343" max="14343" width="6.44140625" style="204" customWidth="1"/>
    <col min="14344" max="14344" width="6.6640625" style="204" customWidth="1"/>
    <col min="14345" max="14345" width="5" style="204" customWidth="1"/>
    <col min="14346" max="14346" width="5.6640625" style="204" customWidth="1"/>
    <col min="14347" max="14347" width="5.109375" style="204" customWidth="1"/>
    <col min="14348" max="14348" width="4.6640625" style="204" customWidth="1"/>
    <col min="14349" max="14349" width="8.109375" style="204" customWidth="1"/>
    <col min="14350" max="14350" width="10.88671875" style="204" customWidth="1"/>
    <col min="14351" max="14351" width="6.44140625" style="204" customWidth="1"/>
    <col min="14352" max="14352" width="7.44140625" style="204" customWidth="1"/>
    <col min="14353" max="14353" width="5.88671875" style="204" customWidth="1"/>
    <col min="14354" max="14354" width="6.44140625" style="204" customWidth="1"/>
    <col min="14355" max="14355" width="5.88671875" style="204" customWidth="1"/>
    <col min="14356" max="14356" width="5.109375" style="204" customWidth="1"/>
    <col min="14357" max="14357" width="12.88671875" style="204" customWidth="1"/>
    <col min="14358" max="14358" width="15" style="204" customWidth="1"/>
    <col min="14359" max="14359" width="20.6640625" style="204" customWidth="1"/>
    <col min="14360" max="14360" width="23.6640625" style="204" customWidth="1"/>
    <col min="14361" max="14361" width="5.44140625" style="204" customWidth="1"/>
    <col min="14362" max="14594" width="11.44140625" style="204"/>
    <col min="14595" max="14595" width="6" style="204" customWidth="1"/>
    <col min="14596" max="14596" width="15.6640625" style="204" customWidth="1"/>
    <col min="14597" max="14598" width="13.109375" style="204" customWidth="1"/>
    <col min="14599" max="14599" width="6.44140625" style="204" customWidth="1"/>
    <col min="14600" max="14600" width="6.6640625" style="204" customWidth="1"/>
    <col min="14601" max="14601" width="5" style="204" customWidth="1"/>
    <col min="14602" max="14602" width="5.6640625" style="204" customWidth="1"/>
    <col min="14603" max="14603" width="5.109375" style="204" customWidth="1"/>
    <col min="14604" max="14604" width="4.6640625" style="204" customWidth="1"/>
    <col min="14605" max="14605" width="8.109375" style="204" customWidth="1"/>
    <col min="14606" max="14606" width="10.88671875" style="204" customWidth="1"/>
    <col min="14607" max="14607" width="6.44140625" style="204" customWidth="1"/>
    <col min="14608" max="14608" width="7.44140625" style="204" customWidth="1"/>
    <col min="14609" max="14609" width="5.88671875" style="204" customWidth="1"/>
    <col min="14610" max="14610" width="6.44140625" style="204" customWidth="1"/>
    <col min="14611" max="14611" width="5.88671875" style="204" customWidth="1"/>
    <col min="14612" max="14612" width="5.109375" style="204" customWidth="1"/>
    <col min="14613" max="14613" width="12.88671875" style="204" customWidth="1"/>
    <col min="14614" max="14614" width="15" style="204" customWidth="1"/>
    <col min="14615" max="14615" width="20.6640625" style="204" customWidth="1"/>
    <col min="14616" max="14616" width="23.6640625" style="204" customWidth="1"/>
    <col min="14617" max="14617" width="5.44140625" style="204" customWidth="1"/>
    <col min="14618" max="14850" width="11.44140625" style="204"/>
    <col min="14851" max="14851" width="6" style="204" customWidth="1"/>
    <col min="14852" max="14852" width="15.6640625" style="204" customWidth="1"/>
    <col min="14853" max="14854" width="13.109375" style="204" customWidth="1"/>
    <col min="14855" max="14855" width="6.44140625" style="204" customWidth="1"/>
    <col min="14856" max="14856" width="6.6640625" style="204" customWidth="1"/>
    <col min="14857" max="14857" width="5" style="204" customWidth="1"/>
    <col min="14858" max="14858" width="5.6640625" style="204" customWidth="1"/>
    <col min="14859" max="14859" width="5.109375" style="204" customWidth="1"/>
    <col min="14860" max="14860" width="4.6640625" style="204" customWidth="1"/>
    <col min="14861" max="14861" width="8.109375" style="204" customWidth="1"/>
    <col min="14862" max="14862" width="10.88671875" style="204" customWidth="1"/>
    <col min="14863" max="14863" width="6.44140625" style="204" customWidth="1"/>
    <col min="14864" max="14864" width="7.44140625" style="204" customWidth="1"/>
    <col min="14865" max="14865" width="5.88671875" style="204" customWidth="1"/>
    <col min="14866" max="14866" width="6.44140625" style="204" customWidth="1"/>
    <col min="14867" max="14867" width="5.88671875" style="204" customWidth="1"/>
    <col min="14868" max="14868" width="5.109375" style="204" customWidth="1"/>
    <col min="14869" max="14869" width="12.88671875" style="204" customWidth="1"/>
    <col min="14870" max="14870" width="15" style="204" customWidth="1"/>
    <col min="14871" max="14871" width="20.6640625" style="204" customWidth="1"/>
    <col min="14872" max="14872" width="23.6640625" style="204" customWidth="1"/>
    <col min="14873" max="14873" width="5.44140625" style="204" customWidth="1"/>
    <col min="14874" max="15106" width="11.44140625" style="204"/>
    <col min="15107" max="15107" width="6" style="204" customWidth="1"/>
    <col min="15108" max="15108" width="15.6640625" style="204" customWidth="1"/>
    <col min="15109" max="15110" width="13.109375" style="204" customWidth="1"/>
    <col min="15111" max="15111" width="6.44140625" style="204" customWidth="1"/>
    <col min="15112" max="15112" width="6.6640625" style="204" customWidth="1"/>
    <col min="15113" max="15113" width="5" style="204" customWidth="1"/>
    <col min="15114" max="15114" width="5.6640625" style="204" customWidth="1"/>
    <col min="15115" max="15115" width="5.109375" style="204" customWidth="1"/>
    <col min="15116" max="15116" width="4.6640625" style="204" customWidth="1"/>
    <col min="15117" max="15117" width="8.109375" style="204" customWidth="1"/>
    <col min="15118" max="15118" width="10.88671875" style="204" customWidth="1"/>
    <col min="15119" max="15119" width="6.44140625" style="204" customWidth="1"/>
    <col min="15120" max="15120" width="7.44140625" style="204" customWidth="1"/>
    <col min="15121" max="15121" width="5.88671875" style="204" customWidth="1"/>
    <col min="15122" max="15122" width="6.44140625" style="204" customWidth="1"/>
    <col min="15123" max="15123" width="5.88671875" style="204" customWidth="1"/>
    <col min="15124" max="15124" width="5.109375" style="204" customWidth="1"/>
    <col min="15125" max="15125" width="12.88671875" style="204" customWidth="1"/>
    <col min="15126" max="15126" width="15" style="204" customWidth="1"/>
    <col min="15127" max="15127" width="20.6640625" style="204" customWidth="1"/>
    <col min="15128" max="15128" width="23.6640625" style="204" customWidth="1"/>
    <col min="15129" max="15129" width="5.44140625" style="204" customWidth="1"/>
    <col min="15130" max="15362" width="11.44140625" style="204"/>
    <col min="15363" max="15363" width="6" style="204" customWidth="1"/>
    <col min="15364" max="15364" width="15.6640625" style="204" customWidth="1"/>
    <col min="15365" max="15366" width="13.109375" style="204" customWidth="1"/>
    <col min="15367" max="15367" width="6.44140625" style="204" customWidth="1"/>
    <col min="15368" max="15368" width="6.6640625" style="204" customWidth="1"/>
    <col min="15369" max="15369" width="5" style="204" customWidth="1"/>
    <col min="15370" max="15370" width="5.6640625" style="204" customWidth="1"/>
    <col min="15371" max="15371" width="5.109375" style="204" customWidth="1"/>
    <col min="15372" max="15372" width="4.6640625" style="204" customWidth="1"/>
    <col min="15373" max="15373" width="8.109375" style="204" customWidth="1"/>
    <col min="15374" max="15374" width="10.88671875" style="204" customWidth="1"/>
    <col min="15375" max="15375" width="6.44140625" style="204" customWidth="1"/>
    <col min="15376" max="15376" width="7.44140625" style="204" customWidth="1"/>
    <col min="15377" max="15377" width="5.88671875" style="204" customWidth="1"/>
    <col min="15378" max="15378" width="6.44140625" style="204" customWidth="1"/>
    <col min="15379" max="15379" width="5.88671875" style="204" customWidth="1"/>
    <col min="15380" max="15380" width="5.109375" style="204" customWidth="1"/>
    <col min="15381" max="15381" width="12.88671875" style="204" customWidth="1"/>
    <col min="15382" max="15382" width="15" style="204" customWidth="1"/>
    <col min="15383" max="15383" width="20.6640625" style="204" customWidth="1"/>
    <col min="15384" max="15384" width="23.6640625" style="204" customWidth="1"/>
    <col min="15385" max="15385" width="5.44140625" style="204" customWidth="1"/>
    <col min="15386" max="15618" width="11.44140625" style="204"/>
    <col min="15619" max="15619" width="6" style="204" customWidth="1"/>
    <col min="15620" max="15620" width="15.6640625" style="204" customWidth="1"/>
    <col min="15621" max="15622" width="13.109375" style="204" customWidth="1"/>
    <col min="15623" max="15623" width="6.44140625" style="204" customWidth="1"/>
    <col min="15624" max="15624" width="6.6640625" style="204" customWidth="1"/>
    <col min="15625" max="15625" width="5" style="204" customWidth="1"/>
    <col min="15626" max="15626" width="5.6640625" style="204" customWidth="1"/>
    <col min="15627" max="15627" width="5.109375" style="204" customWidth="1"/>
    <col min="15628" max="15628" width="4.6640625" style="204" customWidth="1"/>
    <col min="15629" max="15629" width="8.109375" style="204" customWidth="1"/>
    <col min="15630" max="15630" width="10.88671875" style="204" customWidth="1"/>
    <col min="15631" max="15631" width="6.44140625" style="204" customWidth="1"/>
    <col min="15632" max="15632" width="7.44140625" style="204" customWidth="1"/>
    <col min="15633" max="15633" width="5.88671875" style="204" customWidth="1"/>
    <col min="15634" max="15634" width="6.44140625" style="204" customWidth="1"/>
    <col min="15635" max="15635" width="5.88671875" style="204" customWidth="1"/>
    <col min="15636" max="15636" width="5.109375" style="204" customWidth="1"/>
    <col min="15637" max="15637" width="12.88671875" style="204" customWidth="1"/>
    <col min="15638" max="15638" width="15" style="204" customWidth="1"/>
    <col min="15639" max="15639" width="20.6640625" style="204" customWidth="1"/>
    <col min="15640" max="15640" width="23.6640625" style="204" customWidth="1"/>
    <col min="15641" max="15641" width="5.44140625" style="204" customWidth="1"/>
    <col min="15642" max="15874" width="11.44140625" style="204"/>
    <col min="15875" max="15875" width="6" style="204" customWidth="1"/>
    <col min="15876" max="15876" width="15.6640625" style="204" customWidth="1"/>
    <col min="15877" max="15878" width="13.109375" style="204" customWidth="1"/>
    <col min="15879" max="15879" width="6.44140625" style="204" customWidth="1"/>
    <col min="15880" max="15880" width="6.6640625" style="204" customWidth="1"/>
    <col min="15881" max="15881" width="5" style="204" customWidth="1"/>
    <col min="15882" max="15882" width="5.6640625" style="204" customWidth="1"/>
    <col min="15883" max="15883" width="5.109375" style="204" customWidth="1"/>
    <col min="15884" max="15884" width="4.6640625" style="204" customWidth="1"/>
    <col min="15885" max="15885" width="8.109375" style="204" customWidth="1"/>
    <col min="15886" max="15886" width="10.88671875" style="204" customWidth="1"/>
    <col min="15887" max="15887" width="6.44140625" style="204" customWidth="1"/>
    <col min="15888" max="15888" width="7.44140625" style="204" customWidth="1"/>
    <col min="15889" max="15889" width="5.88671875" style="204" customWidth="1"/>
    <col min="15890" max="15890" width="6.44140625" style="204" customWidth="1"/>
    <col min="15891" max="15891" width="5.88671875" style="204" customWidth="1"/>
    <col min="15892" max="15892" width="5.109375" style="204" customWidth="1"/>
    <col min="15893" max="15893" width="12.88671875" style="204" customWidth="1"/>
    <col min="15894" max="15894" width="15" style="204" customWidth="1"/>
    <col min="15895" max="15895" width="20.6640625" style="204" customWidth="1"/>
    <col min="15896" max="15896" width="23.6640625" style="204" customWidth="1"/>
    <col min="15897" max="15897" width="5.44140625" style="204" customWidth="1"/>
    <col min="15898" max="16130" width="11.44140625" style="204"/>
    <col min="16131" max="16131" width="6" style="204" customWidth="1"/>
    <col min="16132" max="16132" width="15.6640625" style="204" customWidth="1"/>
    <col min="16133" max="16134" width="13.109375" style="204" customWidth="1"/>
    <col min="16135" max="16135" width="6.44140625" style="204" customWidth="1"/>
    <col min="16136" max="16136" width="6.6640625" style="204" customWidth="1"/>
    <col min="16137" max="16137" width="5" style="204" customWidth="1"/>
    <col min="16138" max="16138" width="5.6640625" style="204" customWidth="1"/>
    <col min="16139" max="16139" width="5.109375" style="204" customWidth="1"/>
    <col min="16140" max="16140" width="4.6640625" style="204" customWidth="1"/>
    <col min="16141" max="16141" width="8.109375" style="204" customWidth="1"/>
    <col min="16142" max="16142" width="10.88671875" style="204" customWidth="1"/>
    <col min="16143" max="16143" width="6.44140625" style="204" customWidth="1"/>
    <col min="16144" max="16144" width="7.44140625" style="204" customWidth="1"/>
    <col min="16145" max="16145" width="5.88671875" style="204" customWidth="1"/>
    <col min="16146" max="16146" width="6.44140625" style="204" customWidth="1"/>
    <col min="16147" max="16147" width="5.88671875" style="204" customWidth="1"/>
    <col min="16148" max="16148" width="5.109375" style="204" customWidth="1"/>
    <col min="16149" max="16149" width="12.88671875" style="204" customWidth="1"/>
    <col min="16150" max="16150" width="15" style="204" customWidth="1"/>
    <col min="16151" max="16151" width="20.6640625" style="204" customWidth="1"/>
    <col min="16152" max="16152" width="23.6640625" style="204" customWidth="1"/>
    <col min="16153" max="16153" width="5.44140625" style="204" customWidth="1"/>
    <col min="16154" max="16384" width="11.44140625" style="204"/>
  </cols>
  <sheetData>
    <row r="1" spans="1:24" x14ac:dyDescent="0.3">
      <c r="A1" s="912"/>
      <c r="B1" s="912"/>
      <c r="C1" s="915" t="s">
        <v>327</v>
      </c>
      <c r="D1" s="915"/>
      <c r="E1" s="915"/>
      <c r="F1" s="915"/>
      <c r="G1" s="915"/>
      <c r="H1" s="915"/>
      <c r="I1" s="915"/>
      <c r="J1" s="915"/>
      <c r="K1" s="915"/>
      <c r="L1" s="915"/>
      <c r="M1" s="915"/>
      <c r="N1" s="915"/>
      <c r="O1" s="915"/>
      <c r="P1" s="915"/>
      <c r="Q1" s="915"/>
      <c r="R1" s="915"/>
      <c r="S1" s="915"/>
      <c r="T1" s="915"/>
      <c r="U1" s="915"/>
      <c r="V1" s="915"/>
      <c r="W1" s="915"/>
      <c r="X1" s="915"/>
    </row>
    <row r="2" spans="1:24" s="205" customFormat="1" x14ac:dyDescent="0.25">
      <c r="A2" s="913"/>
      <c r="B2" s="913"/>
      <c r="C2" s="916"/>
      <c r="D2" s="916"/>
      <c r="E2" s="916"/>
      <c r="F2" s="916"/>
      <c r="G2" s="916"/>
      <c r="H2" s="916"/>
      <c r="I2" s="916"/>
      <c r="J2" s="916"/>
      <c r="K2" s="916"/>
      <c r="L2" s="916"/>
      <c r="M2" s="916"/>
      <c r="N2" s="916"/>
      <c r="O2" s="916"/>
      <c r="P2" s="916"/>
      <c r="Q2" s="916"/>
      <c r="R2" s="916"/>
      <c r="S2" s="916"/>
      <c r="T2" s="916"/>
      <c r="U2" s="916"/>
      <c r="V2" s="916"/>
      <c r="W2" s="916"/>
      <c r="X2" s="916"/>
    </row>
    <row r="3" spans="1:24" s="205" customFormat="1" x14ac:dyDescent="0.25">
      <c r="A3" s="914"/>
      <c r="B3" s="914"/>
      <c r="C3" s="917"/>
      <c r="D3" s="917"/>
      <c r="E3" s="917"/>
      <c r="F3" s="917"/>
      <c r="G3" s="917"/>
      <c r="H3" s="917"/>
      <c r="I3" s="917"/>
      <c r="J3" s="917"/>
      <c r="K3" s="917"/>
      <c r="L3" s="917"/>
      <c r="M3" s="917"/>
      <c r="N3" s="917"/>
      <c r="O3" s="917"/>
      <c r="P3" s="917"/>
      <c r="Q3" s="917"/>
      <c r="R3" s="917"/>
      <c r="S3" s="917"/>
      <c r="T3" s="917"/>
      <c r="U3" s="917"/>
      <c r="V3" s="917"/>
      <c r="W3" s="917"/>
      <c r="X3" s="917"/>
    </row>
    <row r="4" spans="1:24" ht="6" customHeight="1" x14ac:dyDescent="0.3">
      <c r="A4" s="206"/>
      <c r="B4" s="206"/>
      <c r="C4" s="206"/>
      <c r="D4" s="206"/>
      <c r="E4" s="206"/>
      <c r="F4" s="206"/>
      <c r="G4" s="206"/>
      <c r="H4" s="206"/>
      <c r="I4" s="206"/>
      <c r="J4" s="206"/>
      <c r="K4" s="206"/>
      <c r="L4" s="206"/>
      <c r="M4" s="206"/>
      <c r="N4" s="206"/>
      <c r="O4" s="206"/>
      <c r="P4" s="206"/>
      <c r="Q4" s="206"/>
      <c r="R4" s="206"/>
      <c r="S4" s="206"/>
      <c r="T4" s="206"/>
      <c r="U4" s="206"/>
      <c r="V4" s="206"/>
      <c r="W4" s="206"/>
      <c r="X4" s="206"/>
    </row>
    <row r="5" spans="1:24" ht="6" customHeight="1" x14ac:dyDescent="0.3">
      <c r="A5" s="206"/>
      <c r="B5" s="206"/>
      <c r="C5" s="206"/>
      <c r="D5" s="206"/>
      <c r="E5" s="206"/>
      <c r="F5" s="206"/>
      <c r="G5" s="206"/>
      <c r="H5" s="206"/>
      <c r="I5" s="206"/>
      <c r="J5" s="206"/>
      <c r="K5" s="206"/>
      <c r="L5" s="206"/>
      <c r="M5" s="206"/>
      <c r="N5" s="206"/>
      <c r="O5" s="206"/>
      <c r="P5" s="206"/>
      <c r="Q5" s="206"/>
      <c r="R5" s="206"/>
      <c r="S5" s="206"/>
      <c r="T5" s="206"/>
      <c r="U5" s="206"/>
      <c r="V5" s="206"/>
      <c r="W5" s="206"/>
      <c r="X5" s="206"/>
    </row>
    <row r="6" spans="1:24" s="211" customFormat="1" ht="41.1" customHeight="1" x14ac:dyDescent="0.35">
      <c r="A6" s="901" t="s">
        <v>0</v>
      </c>
      <c r="B6" s="901" t="s">
        <v>1</v>
      </c>
      <c r="C6" s="918" t="s">
        <v>2</v>
      </c>
      <c r="D6" s="901" t="s">
        <v>3</v>
      </c>
      <c r="E6" s="901" t="s">
        <v>326</v>
      </c>
      <c r="F6" s="919" t="s">
        <v>4</v>
      </c>
      <c r="G6" s="919"/>
      <c r="H6" s="919"/>
      <c r="I6" s="919"/>
      <c r="J6" s="919"/>
      <c r="K6" s="919"/>
      <c r="L6" s="209"/>
      <c r="M6" s="207"/>
      <c r="N6" s="207"/>
      <c r="O6" s="927" t="s">
        <v>4</v>
      </c>
      <c r="P6" s="928"/>
      <c r="Q6" s="929"/>
      <c r="R6" s="210" t="s">
        <v>593</v>
      </c>
      <c r="S6" s="909" t="s">
        <v>589</v>
      </c>
      <c r="T6" s="918" t="s">
        <v>5</v>
      </c>
      <c r="U6" s="918"/>
      <c r="V6" s="920" t="s">
        <v>594</v>
      </c>
      <c r="W6" s="920" t="s">
        <v>590</v>
      </c>
      <c r="X6" s="920" t="s">
        <v>595</v>
      </c>
    </row>
    <row r="7" spans="1:24" s="211" customFormat="1" ht="18" x14ac:dyDescent="0.2">
      <c r="A7" s="901"/>
      <c r="B7" s="901"/>
      <c r="C7" s="918"/>
      <c r="D7" s="901"/>
      <c r="E7" s="901"/>
      <c r="F7" s="901" t="s">
        <v>11</v>
      </c>
      <c r="G7" s="901" t="s">
        <v>330</v>
      </c>
      <c r="H7" s="901" t="s">
        <v>12</v>
      </c>
      <c r="I7" s="901" t="s">
        <v>13</v>
      </c>
      <c r="J7" s="901" t="s">
        <v>14</v>
      </c>
      <c r="K7" s="901" t="s">
        <v>15</v>
      </c>
      <c r="L7" s="209" t="s">
        <v>541</v>
      </c>
      <c r="M7" s="207" t="s">
        <v>17</v>
      </c>
      <c r="N7" s="207" t="s">
        <v>394</v>
      </c>
      <c r="O7" s="209" t="s">
        <v>539</v>
      </c>
      <c r="P7" s="209" t="s">
        <v>19</v>
      </c>
      <c r="Q7" s="209" t="s">
        <v>398</v>
      </c>
      <c r="R7" s="209" t="s">
        <v>398</v>
      </c>
      <c r="S7" s="910"/>
      <c r="T7" s="918"/>
      <c r="U7" s="918"/>
      <c r="V7" s="920"/>
      <c r="W7" s="920"/>
      <c r="X7" s="920"/>
    </row>
    <row r="8" spans="1:24" s="211" customFormat="1" ht="18.75" customHeight="1" x14ac:dyDescent="0.2">
      <c r="A8" s="901"/>
      <c r="B8" s="901"/>
      <c r="C8" s="918"/>
      <c r="D8" s="901"/>
      <c r="E8" s="901"/>
      <c r="F8" s="901"/>
      <c r="G8" s="901"/>
      <c r="H8" s="901"/>
      <c r="I8" s="901"/>
      <c r="J8" s="901"/>
      <c r="K8" s="901"/>
      <c r="L8" s="209" t="s">
        <v>540</v>
      </c>
      <c r="M8" s="207" t="s">
        <v>11</v>
      </c>
      <c r="N8" s="207" t="s">
        <v>395</v>
      </c>
      <c r="O8" s="209" t="s">
        <v>540</v>
      </c>
      <c r="P8" s="209" t="s">
        <v>22</v>
      </c>
      <c r="Q8" s="209" t="s">
        <v>397</v>
      </c>
      <c r="R8" s="209" t="s">
        <v>397</v>
      </c>
      <c r="S8" s="911"/>
      <c r="T8" s="918"/>
      <c r="U8" s="918"/>
      <c r="V8" s="920"/>
      <c r="W8" s="920"/>
      <c r="X8" s="920"/>
    </row>
    <row r="9" spans="1:24" s="211" customFormat="1" ht="18.75" customHeight="1" x14ac:dyDescent="0.35">
      <c r="A9" s="212">
        <v>1</v>
      </c>
      <c r="B9" s="213" t="s">
        <v>328</v>
      </c>
      <c r="C9" s="212" t="s">
        <v>329</v>
      </c>
      <c r="D9" s="213" t="s">
        <v>339</v>
      </c>
      <c r="E9" s="212">
        <v>51</v>
      </c>
      <c r="F9" s="212">
        <v>11</v>
      </c>
      <c r="G9" s="212">
        <v>3</v>
      </c>
      <c r="H9" s="212">
        <v>2</v>
      </c>
      <c r="I9" s="212"/>
      <c r="J9" s="212">
        <v>1</v>
      </c>
      <c r="K9" s="212"/>
      <c r="L9" s="214">
        <f>F9+(G9*2)+(H9*1.5)+(I9*1.5)+(J9*2.5)+(K9*1.5)</f>
        <v>22.5</v>
      </c>
      <c r="M9" s="212" t="s">
        <v>232</v>
      </c>
      <c r="N9" s="215">
        <v>7.4999999999999997E-2</v>
      </c>
      <c r="O9" s="214">
        <f>VLOOKUP(M9,PID!A5:B247,2,0)</f>
        <v>0.95</v>
      </c>
      <c r="P9" s="216">
        <f t="shared" ref="P9:P41" si="0">L9*O9</f>
        <v>21.375</v>
      </c>
      <c r="Q9" s="214">
        <f>P9*N9</f>
        <v>1.6031249999999999</v>
      </c>
      <c r="R9" s="217">
        <f>Q9*B52</f>
        <v>0.99393749999999992</v>
      </c>
      <c r="S9" s="218">
        <v>1500</v>
      </c>
      <c r="T9" s="904">
        <f>11498</f>
        <v>11498</v>
      </c>
      <c r="U9" s="904"/>
      <c r="V9" s="219">
        <f>(S9*R9)</f>
        <v>1490.9062499999998</v>
      </c>
      <c r="W9" s="219" t="e">
        <f>#REF!+T9</f>
        <v>#REF!</v>
      </c>
      <c r="X9" s="219">
        <f>(R9*T9)</f>
        <v>11428.293374999999</v>
      </c>
    </row>
    <row r="10" spans="1:24" s="211" customFormat="1" ht="18.75" customHeight="1" x14ac:dyDescent="0.35">
      <c r="A10" s="212">
        <v>2</v>
      </c>
      <c r="B10" s="213" t="s">
        <v>331</v>
      </c>
      <c r="C10" s="212" t="s">
        <v>332</v>
      </c>
      <c r="D10" s="213" t="s">
        <v>339</v>
      </c>
      <c r="E10" s="212">
        <v>51</v>
      </c>
      <c r="F10" s="212">
        <v>14</v>
      </c>
      <c r="G10" s="212">
        <v>4</v>
      </c>
      <c r="H10" s="212">
        <v>2</v>
      </c>
      <c r="I10" s="212"/>
      <c r="J10" s="212">
        <v>1</v>
      </c>
      <c r="K10" s="212"/>
      <c r="L10" s="214">
        <f t="shared" ref="L10:L43" si="1">F10+(G10*2)+(H10*1.5)+(I10*1.5)+(J10*2.5)+(K10*1.5)</f>
        <v>27.5</v>
      </c>
      <c r="M10" s="212" t="s">
        <v>250</v>
      </c>
      <c r="N10" s="215">
        <v>7.4999999999999997E-2</v>
      </c>
      <c r="O10" s="214">
        <f>VLOOKUP(M10,PID!A6:B248,2,0)</f>
        <v>0.78</v>
      </c>
      <c r="P10" s="216">
        <f t="shared" si="0"/>
        <v>21.45</v>
      </c>
      <c r="Q10" s="214">
        <f t="shared" ref="Q10:Q43" si="2">P10*N10</f>
        <v>1.6087499999999999</v>
      </c>
      <c r="R10" s="217">
        <f>Q10*B52</f>
        <v>0.9974249999999999</v>
      </c>
      <c r="S10" s="218">
        <v>1500</v>
      </c>
      <c r="T10" s="904">
        <f>11498</f>
        <v>11498</v>
      </c>
      <c r="U10" s="904"/>
      <c r="V10" s="219">
        <f t="shared" ref="V10:V42" si="3">(S10*R10)</f>
        <v>1496.1374999999998</v>
      </c>
      <c r="W10" s="219" t="e">
        <f>#REF!+T10</f>
        <v>#REF!</v>
      </c>
      <c r="X10" s="219">
        <f t="shared" ref="X10:X46" si="4">(R10*T10)</f>
        <v>11468.392649999998</v>
      </c>
    </row>
    <row r="11" spans="1:24" s="211" customFormat="1" ht="18.75" customHeight="1" x14ac:dyDescent="0.35">
      <c r="A11" s="212">
        <v>3</v>
      </c>
      <c r="B11" s="213" t="s">
        <v>335</v>
      </c>
      <c r="C11" s="212" t="s">
        <v>336</v>
      </c>
      <c r="D11" s="213" t="s">
        <v>340</v>
      </c>
      <c r="E11" s="212">
        <v>51</v>
      </c>
      <c r="F11" s="212">
        <v>31</v>
      </c>
      <c r="G11" s="212">
        <v>7</v>
      </c>
      <c r="H11" s="212"/>
      <c r="I11" s="212"/>
      <c r="J11" s="212"/>
      <c r="K11" s="212"/>
      <c r="L11" s="214">
        <f t="shared" si="1"/>
        <v>45</v>
      </c>
      <c r="M11" s="212" t="s">
        <v>176</v>
      </c>
      <c r="N11" s="215">
        <v>0.1</v>
      </c>
      <c r="O11" s="214">
        <f>VLOOKUP(M11,PID!A7:B249,2,0)</f>
        <v>2.1</v>
      </c>
      <c r="P11" s="216">
        <f t="shared" si="0"/>
        <v>94.5</v>
      </c>
      <c r="Q11" s="214">
        <f t="shared" si="2"/>
        <v>9.4500000000000011</v>
      </c>
      <c r="R11" s="217">
        <f>Q11*B52</f>
        <v>5.8590000000000009</v>
      </c>
      <c r="S11" s="218">
        <v>1500</v>
      </c>
      <c r="T11" s="904">
        <f>11498</f>
        <v>11498</v>
      </c>
      <c r="U11" s="904"/>
      <c r="V11" s="219">
        <f t="shared" si="3"/>
        <v>8788.5000000000018</v>
      </c>
      <c r="W11" s="219" t="e">
        <f>#REF!+T11</f>
        <v>#REF!</v>
      </c>
      <c r="X11" s="219">
        <f t="shared" si="4"/>
        <v>67366.782000000007</v>
      </c>
    </row>
    <row r="12" spans="1:24" s="211" customFormat="1" ht="18.75" customHeight="1" x14ac:dyDescent="0.35">
      <c r="A12" s="212">
        <v>4</v>
      </c>
      <c r="B12" s="213" t="s">
        <v>337</v>
      </c>
      <c r="C12" s="212" t="s">
        <v>338</v>
      </c>
      <c r="D12" s="213" t="s">
        <v>341</v>
      </c>
      <c r="E12" s="212">
        <v>51</v>
      </c>
      <c r="F12" s="212">
        <v>71.8</v>
      </c>
      <c r="G12" s="212">
        <v>14</v>
      </c>
      <c r="H12" s="212"/>
      <c r="I12" s="212"/>
      <c r="J12" s="212"/>
      <c r="K12" s="212">
        <v>7</v>
      </c>
      <c r="L12" s="214">
        <f t="shared" si="1"/>
        <v>110.3</v>
      </c>
      <c r="M12" s="212" t="s">
        <v>176</v>
      </c>
      <c r="N12" s="215">
        <v>0.1</v>
      </c>
      <c r="O12" s="214">
        <f>VLOOKUP(M12,PID!A8:B250,2,0)</f>
        <v>2.1</v>
      </c>
      <c r="P12" s="216">
        <f t="shared" si="0"/>
        <v>231.63</v>
      </c>
      <c r="Q12" s="214">
        <f t="shared" si="2"/>
        <v>23.163</v>
      </c>
      <c r="R12" s="217">
        <f>Q12*B52</f>
        <v>14.36106</v>
      </c>
      <c r="S12" s="218">
        <v>1500</v>
      </c>
      <c r="T12" s="904">
        <f>11498</f>
        <v>11498</v>
      </c>
      <c r="U12" s="904"/>
      <c r="V12" s="219">
        <f t="shared" si="3"/>
        <v>21541.59</v>
      </c>
      <c r="W12" s="219" t="e">
        <f>#REF!+T12</f>
        <v>#REF!</v>
      </c>
      <c r="X12" s="219">
        <f t="shared" si="4"/>
        <v>165123.46788000001</v>
      </c>
    </row>
    <row r="13" spans="1:24" s="211" customFormat="1" ht="18.75" customHeight="1" x14ac:dyDescent="0.35">
      <c r="A13" s="212">
        <v>5</v>
      </c>
      <c r="B13" s="213" t="s">
        <v>337</v>
      </c>
      <c r="C13" s="212" t="s">
        <v>338</v>
      </c>
      <c r="D13" s="220" t="s">
        <v>342</v>
      </c>
      <c r="E13" s="215">
        <v>51</v>
      </c>
      <c r="F13" s="221">
        <v>26.681000000000001</v>
      </c>
      <c r="G13" s="212">
        <v>5</v>
      </c>
      <c r="H13" s="212"/>
      <c r="I13" s="212"/>
      <c r="J13" s="212">
        <v>1</v>
      </c>
      <c r="K13" s="212">
        <v>1</v>
      </c>
      <c r="L13" s="214">
        <f t="shared" si="1"/>
        <v>40.680999999999997</v>
      </c>
      <c r="M13" s="212" t="s">
        <v>176</v>
      </c>
      <c r="N13" s="215">
        <v>0.1</v>
      </c>
      <c r="O13" s="214">
        <f>VLOOKUP(M13,PID!A9:B251,2,0)</f>
        <v>2.1</v>
      </c>
      <c r="P13" s="216">
        <f t="shared" si="0"/>
        <v>85.430099999999996</v>
      </c>
      <c r="Q13" s="214">
        <f t="shared" si="2"/>
        <v>8.5430100000000007</v>
      </c>
      <c r="R13" s="217">
        <f>Q13*B52</f>
        <v>5.2966662000000007</v>
      </c>
      <c r="S13" s="218">
        <v>1500</v>
      </c>
      <c r="T13" s="904">
        <f>11498</f>
        <v>11498</v>
      </c>
      <c r="U13" s="904"/>
      <c r="V13" s="219">
        <f t="shared" si="3"/>
        <v>7944.9993000000013</v>
      </c>
      <c r="W13" s="219" t="e">
        <f>#REF!+T13</f>
        <v>#REF!</v>
      </c>
      <c r="X13" s="219">
        <f t="shared" si="4"/>
        <v>60901.067967600007</v>
      </c>
    </row>
    <row r="14" spans="1:24" s="211" customFormat="1" ht="18.75" customHeight="1" x14ac:dyDescent="0.35">
      <c r="A14" s="212">
        <v>6</v>
      </c>
      <c r="B14" s="213" t="s">
        <v>343</v>
      </c>
      <c r="C14" s="215" t="s">
        <v>344</v>
      </c>
      <c r="D14" s="220" t="s">
        <v>342</v>
      </c>
      <c r="E14" s="215">
        <v>51</v>
      </c>
      <c r="F14" s="207">
        <f>4.5/4</f>
        <v>1.125</v>
      </c>
      <c r="G14" s="212"/>
      <c r="H14" s="212">
        <v>2</v>
      </c>
      <c r="I14" s="212"/>
      <c r="J14" s="212">
        <v>1</v>
      </c>
      <c r="K14" s="212"/>
      <c r="L14" s="214">
        <f t="shared" si="1"/>
        <v>6.625</v>
      </c>
      <c r="M14" s="212" t="s">
        <v>221</v>
      </c>
      <c r="N14" s="215">
        <v>0.1</v>
      </c>
      <c r="O14" s="214">
        <f>VLOOKUP(M14,PID!A10:B252,2,0)</f>
        <v>1.35</v>
      </c>
      <c r="P14" s="216">
        <f t="shared" si="0"/>
        <v>8.9437500000000014</v>
      </c>
      <c r="Q14" s="214">
        <f t="shared" si="2"/>
        <v>0.89437500000000014</v>
      </c>
      <c r="R14" s="217">
        <f>Q14*B52</f>
        <v>0.55451250000000007</v>
      </c>
      <c r="S14" s="218">
        <v>1500</v>
      </c>
      <c r="T14" s="904">
        <f>11498</f>
        <v>11498</v>
      </c>
      <c r="U14" s="904"/>
      <c r="V14" s="219">
        <f t="shared" si="3"/>
        <v>831.76875000000007</v>
      </c>
      <c r="W14" s="219" t="e">
        <f>#REF!+T14</f>
        <v>#REF!</v>
      </c>
      <c r="X14" s="219">
        <f t="shared" si="4"/>
        <v>6375.7847250000004</v>
      </c>
    </row>
    <row r="15" spans="1:24" s="211" customFormat="1" ht="19.5" customHeight="1" x14ac:dyDescent="0.35">
      <c r="A15" s="212">
        <v>7</v>
      </c>
      <c r="B15" s="213" t="s">
        <v>345</v>
      </c>
      <c r="C15" s="208" t="s">
        <v>344</v>
      </c>
      <c r="D15" s="220" t="s">
        <v>342</v>
      </c>
      <c r="E15" s="215">
        <v>51</v>
      </c>
      <c r="F15" s="207">
        <f>4.5/4</f>
        <v>1.125</v>
      </c>
      <c r="G15" s="212"/>
      <c r="H15" s="212"/>
      <c r="I15" s="212"/>
      <c r="J15" s="212"/>
      <c r="K15" s="212"/>
      <c r="L15" s="214">
        <f t="shared" si="1"/>
        <v>1.125</v>
      </c>
      <c r="M15" s="212" t="s">
        <v>221</v>
      </c>
      <c r="N15" s="215">
        <v>0.1</v>
      </c>
      <c r="O15" s="214">
        <f>VLOOKUP(M15,PID!A11:B253,2,0)</f>
        <v>1.35</v>
      </c>
      <c r="P15" s="216">
        <f t="shared" si="0"/>
        <v>1.51875</v>
      </c>
      <c r="Q15" s="214">
        <f t="shared" si="2"/>
        <v>0.15187500000000001</v>
      </c>
      <c r="R15" s="217">
        <f>Q15*B52</f>
        <v>9.416250000000001E-2</v>
      </c>
      <c r="S15" s="218">
        <v>1500</v>
      </c>
      <c r="T15" s="904">
        <f>11498</f>
        <v>11498</v>
      </c>
      <c r="U15" s="904"/>
      <c r="V15" s="219">
        <f t="shared" si="3"/>
        <v>141.24375000000001</v>
      </c>
      <c r="W15" s="219" t="e">
        <f>#REF!+T15</f>
        <v>#REF!</v>
      </c>
      <c r="X15" s="219">
        <f t="shared" si="4"/>
        <v>1082.680425</v>
      </c>
    </row>
    <row r="16" spans="1:24" s="211" customFormat="1" ht="21" customHeight="1" x14ac:dyDescent="0.35">
      <c r="A16" s="212">
        <v>8</v>
      </c>
      <c r="B16" s="213" t="s">
        <v>346</v>
      </c>
      <c r="C16" s="208" t="s">
        <v>344</v>
      </c>
      <c r="D16" s="220" t="s">
        <v>342</v>
      </c>
      <c r="E16" s="215">
        <v>51</v>
      </c>
      <c r="F16" s="207">
        <f>4.5/4</f>
        <v>1.125</v>
      </c>
      <c r="G16" s="212"/>
      <c r="H16" s="212"/>
      <c r="I16" s="212"/>
      <c r="J16" s="212"/>
      <c r="K16" s="212"/>
      <c r="L16" s="214">
        <f t="shared" si="1"/>
        <v>1.125</v>
      </c>
      <c r="M16" s="212" t="s">
        <v>221</v>
      </c>
      <c r="N16" s="215">
        <v>0.1</v>
      </c>
      <c r="O16" s="214">
        <f>VLOOKUP(M16,PID!A12:B254,2,0)</f>
        <v>1.35</v>
      </c>
      <c r="P16" s="216">
        <f t="shared" si="0"/>
        <v>1.51875</v>
      </c>
      <c r="Q16" s="214">
        <f t="shared" si="2"/>
        <v>0.15187500000000001</v>
      </c>
      <c r="R16" s="217">
        <f>Q16*B52</f>
        <v>9.416250000000001E-2</v>
      </c>
      <c r="S16" s="218">
        <v>1500</v>
      </c>
      <c r="T16" s="904">
        <f>11498</f>
        <v>11498</v>
      </c>
      <c r="U16" s="904"/>
      <c r="V16" s="219">
        <f t="shared" si="3"/>
        <v>141.24375000000001</v>
      </c>
      <c r="W16" s="219" t="e">
        <f>#REF!+T16</f>
        <v>#REF!</v>
      </c>
      <c r="X16" s="219">
        <f t="shared" si="4"/>
        <v>1082.680425</v>
      </c>
    </row>
    <row r="17" spans="1:24" s="211" customFormat="1" ht="18.75" customHeight="1" x14ac:dyDescent="0.35">
      <c r="A17" s="212">
        <v>9</v>
      </c>
      <c r="B17" s="213" t="s">
        <v>347</v>
      </c>
      <c r="C17" s="208" t="s">
        <v>344</v>
      </c>
      <c r="D17" s="220" t="s">
        <v>342</v>
      </c>
      <c r="E17" s="215">
        <v>51</v>
      </c>
      <c r="F17" s="207">
        <f>4.5/4</f>
        <v>1.125</v>
      </c>
      <c r="G17" s="212"/>
      <c r="H17" s="212"/>
      <c r="I17" s="212"/>
      <c r="J17" s="212"/>
      <c r="K17" s="212"/>
      <c r="L17" s="214">
        <f t="shared" si="1"/>
        <v>1.125</v>
      </c>
      <c r="M17" s="212" t="s">
        <v>221</v>
      </c>
      <c r="N17" s="215">
        <v>0.1</v>
      </c>
      <c r="O17" s="214">
        <f>VLOOKUP(M17,PID!A13:B255,2,0)</f>
        <v>1.35</v>
      </c>
      <c r="P17" s="216">
        <f t="shared" si="0"/>
        <v>1.51875</v>
      </c>
      <c r="Q17" s="214">
        <f t="shared" si="2"/>
        <v>0.15187500000000001</v>
      </c>
      <c r="R17" s="217">
        <f>Q17*B52</f>
        <v>9.416250000000001E-2</v>
      </c>
      <c r="S17" s="218">
        <v>1500</v>
      </c>
      <c r="T17" s="904">
        <f>11498</f>
        <v>11498</v>
      </c>
      <c r="U17" s="904"/>
      <c r="V17" s="219">
        <f t="shared" si="3"/>
        <v>141.24375000000001</v>
      </c>
      <c r="W17" s="219" t="e">
        <f>#REF!+T17</f>
        <v>#REF!</v>
      </c>
      <c r="X17" s="219">
        <f t="shared" si="4"/>
        <v>1082.680425</v>
      </c>
    </row>
    <row r="18" spans="1:24" s="211" customFormat="1" ht="18.75" customHeight="1" x14ac:dyDescent="0.35">
      <c r="A18" s="212">
        <v>10</v>
      </c>
      <c r="B18" s="215" t="s">
        <v>348</v>
      </c>
      <c r="C18" s="208" t="s">
        <v>349</v>
      </c>
      <c r="D18" s="220" t="s">
        <v>342</v>
      </c>
      <c r="E18" s="215">
        <v>51</v>
      </c>
      <c r="F18" s="207">
        <v>6</v>
      </c>
      <c r="G18" s="212"/>
      <c r="H18" s="212"/>
      <c r="I18" s="212"/>
      <c r="J18" s="212"/>
      <c r="K18" s="212"/>
      <c r="L18" s="214">
        <f t="shared" si="1"/>
        <v>6</v>
      </c>
      <c r="M18" s="212" t="s">
        <v>203</v>
      </c>
      <c r="N18" s="215">
        <v>0.1</v>
      </c>
      <c r="O18" s="214">
        <f>VLOOKUP(M18,PID!A14:B256,2,0)</f>
        <v>1.68</v>
      </c>
      <c r="P18" s="216">
        <f t="shared" si="0"/>
        <v>10.08</v>
      </c>
      <c r="Q18" s="214">
        <f t="shared" si="2"/>
        <v>1.008</v>
      </c>
      <c r="R18" s="217">
        <f>Q18*B52</f>
        <v>0.62495999999999996</v>
      </c>
      <c r="S18" s="218">
        <v>1500</v>
      </c>
      <c r="T18" s="904">
        <f>11498</f>
        <v>11498</v>
      </c>
      <c r="U18" s="904"/>
      <c r="V18" s="219">
        <f t="shared" si="3"/>
        <v>937.43999999999994</v>
      </c>
      <c r="W18" s="219" t="e">
        <f>#REF!+T18</f>
        <v>#REF!</v>
      </c>
      <c r="X18" s="219">
        <f t="shared" si="4"/>
        <v>7185.7900799999998</v>
      </c>
    </row>
    <row r="19" spans="1:24" s="211" customFormat="1" ht="18.75" customHeight="1" x14ac:dyDescent="0.35">
      <c r="A19" s="212">
        <v>11</v>
      </c>
      <c r="B19" s="213" t="s">
        <v>335</v>
      </c>
      <c r="C19" s="208" t="s">
        <v>350</v>
      </c>
      <c r="D19" s="220" t="s">
        <v>342</v>
      </c>
      <c r="E19" s="215">
        <v>51</v>
      </c>
      <c r="F19" s="222">
        <v>28.318999999999999</v>
      </c>
      <c r="G19" s="212"/>
      <c r="H19" s="212"/>
      <c r="I19" s="212"/>
      <c r="J19" s="212"/>
      <c r="K19" s="212"/>
      <c r="L19" s="214">
        <f t="shared" si="1"/>
        <v>28.318999999999999</v>
      </c>
      <c r="M19" s="212" t="s">
        <v>176</v>
      </c>
      <c r="N19" s="215">
        <v>0.1</v>
      </c>
      <c r="O19" s="214">
        <f>VLOOKUP(M19,PID!A15:B257,2,0)</f>
        <v>2.1</v>
      </c>
      <c r="P19" s="216">
        <f t="shared" si="0"/>
        <v>59.469900000000003</v>
      </c>
      <c r="Q19" s="214">
        <f t="shared" si="2"/>
        <v>5.9469900000000004</v>
      </c>
      <c r="R19" s="217">
        <f>Q19*B52</f>
        <v>3.6871338000000002</v>
      </c>
      <c r="S19" s="218">
        <v>1500</v>
      </c>
      <c r="T19" s="904">
        <f>11498</f>
        <v>11498</v>
      </c>
      <c r="U19" s="904"/>
      <c r="V19" s="219">
        <f t="shared" si="3"/>
        <v>5530.7007000000003</v>
      </c>
      <c r="W19" s="219" t="e">
        <f>#REF!+T19</f>
        <v>#REF!</v>
      </c>
      <c r="X19" s="219">
        <f t="shared" si="4"/>
        <v>42394.664432400001</v>
      </c>
    </row>
    <row r="20" spans="1:24" s="211" customFormat="1" ht="18.75" customHeight="1" x14ac:dyDescent="0.35">
      <c r="A20" s="212">
        <v>12</v>
      </c>
      <c r="B20" s="215" t="s">
        <v>337</v>
      </c>
      <c r="C20" s="208" t="s">
        <v>352</v>
      </c>
      <c r="D20" s="223" t="s">
        <v>351</v>
      </c>
      <c r="E20" s="208">
        <v>51</v>
      </c>
      <c r="F20" s="207">
        <v>24</v>
      </c>
      <c r="G20" s="212">
        <v>6</v>
      </c>
      <c r="H20" s="212"/>
      <c r="I20" s="212"/>
      <c r="J20" s="212"/>
      <c r="K20" s="212"/>
      <c r="L20" s="214">
        <f t="shared" si="1"/>
        <v>36</v>
      </c>
      <c r="M20" s="212" t="s">
        <v>176</v>
      </c>
      <c r="N20" s="215">
        <v>0.1</v>
      </c>
      <c r="O20" s="214">
        <f>VLOOKUP(M20,PID!A16:B258,2,0)</f>
        <v>2.1</v>
      </c>
      <c r="P20" s="216">
        <f t="shared" si="0"/>
        <v>75.600000000000009</v>
      </c>
      <c r="Q20" s="214">
        <f t="shared" si="2"/>
        <v>7.5600000000000014</v>
      </c>
      <c r="R20" s="217">
        <f>Q20*B52</f>
        <v>4.6872000000000007</v>
      </c>
      <c r="S20" s="218">
        <v>1500</v>
      </c>
      <c r="T20" s="904">
        <f>11498</f>
        <v>11498</v>
      </c>
      <c r="U20" s="904"/>
      <c r="V20" s="219">
        <f t="shared" si="3"/>
        <v>7030.8000000000011</v>
      </c>
      <c r="W20" s="219" t="e">
        <f>#REF!+T20</f>
        <v>#REF!</v>
      </c>
      <c r="X20" s="219">
        <f t="shared" si="4"/>
        <v>53893.42560000001</v>
      </c>
    </row>
    <row r="21" spans="1:24" s="211" customFormat="1" ht="18.75" customHeight="1" x14ac:dyDescent="0.35">
      <c r="A21" s="212">
        <v>13</v>
      </c>
      <c r="B21" s="215" t="s">
        <v>353</v>
      </c>
      <c r="C21" s="215" t="s">
        <v>354</v>
      </c>
      <c r="D21" s="220" t="s">
        <v>355</v>
      </c>
      <c r="E21" s="215">
        <v>51</v>
      </c>
      <c r="F21" s="207">
        <v>20</v>
      </c>
      <c r="G21" s="212">
        <v>6</v>
      </c>
      <c r="H21" s="212"/>
      <c r="I21" s="212"/>
      <c r="J21" s="212"/>
      <c r="K21" s="212">
        <v>1</v>
      </c>
      <c r="L21" s="214">
        <f t="shared" si="1"/>
        <v>33.5</v>
      </c>
      <c r="M21" s="212" t="s">
        <v>205</v>
      </c>
      <c r="N21" s="215">
        <v>7.4999999999999997E-2</v>
      </c>
      <c r="O21" s="214">
        <f>VLOOKUP(M21,PID!A17:B259,2,0)</f>
        <v>1.52</v>
      </c>
      <c r="P21" s="216">
        <f t="shared" si="0"/>
        <v>50.92</v>
      </c>
      <c r="Q21" s="214">
        <f t="shared" si="2"/>
        <v>3.819</v>
      </c>
      <c r="R21" s="217">
        <f>Q21*B52</f>
        <v>2.3677799999999998</v>
      </c>
      <c r="S21" s="218">
        <v>1500</v>
      </c>
      <c r="T21" s="904">
        <f>11498</f>
        <v>11498</v>
      </c>
      <c r="U21" s="904"/>
      <c r="V21" s="219">
        <f t="shared" si="3"/>
        <v>3551.6699999999996</v>
      </c>
      <c r="W21" s="219" t="e">
        <f>#REF!+T21</f>
        <v>#REF!</v>
      </c>
      <c r="X21" s="219">
        <f t="shared" si="4"/>
        <v>27224.734439999997</v>
      </c>
    </row>
    <row r="22" spans="1:24" s="211" customFormat="1" ht="18.75" customHeight="1" x14ac:dyDescent="0.35">
      <c r="A22" s="212">
        <v>14</v>
      </c>
      <c r="B22" s="215" t="s">
        <v>356</v>
      </c>
      <c r="C22" s="215" t="s">
        <v>357</v>
      </c>
      <c r="D22" s="220" t="s">
        <v>373</v>
      </c>
      <c r="E22" s="215">
        <v>51</v>
      </c>
      <c r="F22" s="207">
        <v>9.8000000000000007</v>
      </c>
      <c r="G22" s="212"/>
      <c r="H22" s="212"/>
      <c r="I22" s="212"/>
      <c r="J22" s="212"/>
      <c r="K22" s="212">
        <v>1</v>
      </c>
      <c r="L22" s="214">
        <f t="shared" si="1"/>
        <v>11.3</v>
      </c>
      <c r="M22" s="212" t="s">
        <v>187</v>
      </c>
      <c r="N22" s="215">
        <v>7.4999999999999997E-2</v>
      </c>
      <c r="O22" s="214">
        <f>VLOOKUP(M22,PID!A18:B260,2,0)</f>
        <v>1.78</v>
      </c>
      <c r="P22" s="216">
        <f t="shared" si="0"/>
        <v>20.114000000000001</v>
      </c>
      <c r="Q22" s="214">
        <f t="shared" si="2"/>
        <v>1.5085500000000001</v>
      </c>
      <c r="R22" s="217">
        <f>Q22*B52</f>
        <v>0.93530100000000005</v>
      </c>
      <c r="S22" s="218">
        <v>1500</v>
      </c>
      <c r="T22" s="904">
        <f>11498</f>
        <v>11498</v>
      </c>
      <c r="U22" s="904"/>
      <c r="V22" s="219">
        <f t="shared" si="3"/>
        <v>1402.9515000000001</v>
      </c>
      <c r="W22" s="219" t="e">
        <f>#REF!+T22</f>
        <v>#REF!</v>
      </c>
      <c r="X22" s="219">
        <f t="shared" si="4"/>
        <v>10754.090898</v>
      </c>
    </row>
    <row r="23" spans="1:24" s="211" customFormat="1" ht="18.75" customHeight="1" x14ac:dyDescent="0.35">
      <c r="A23" s="212">
        <v>15</v>
      </c>
      <c r="B23" s="215" t="s">
        <v>359</v>
      </c>
      <c r="C23" s="215" t="s">
        <v>360</v>
      </c>
      <c r="D23" s="220" t="s">
        <v>373</v>
      </c>
      <c r="E23" s="215">
        <v>51</v>
      </c>
      <c r="F23" s="222">
        <v>8.6549999999999994</v>
      </c>
      <c r="G23" s="212">
        <v>3</v>
      </c>
      <c r="H23" s="212"/>
      <c r="I23" s="212"/>
      <c r="J23" s="212"/>
      <c r="K23" s="212">
        <v>1</v>
      </c>
      <c r="L23" s="214">
        <f t="shared" si="1"/>
        <v>16.155000000000001</v>
      </c>
      <c r="M23" s="212" t="s">
        <v>187</v>
      </c>
      <c r="N23" s="215">
        <v>7.4999999999999997E-2</v>
      </c>
      <c r="O23" s="214">
        <f>VLOOKUP(M23,PID!A19:B261,2,0)</f>
        <v>1.78</v>
      </c>
      <c r="P23" s="216">
        <f t="shared" si="0"/>
        <v>28.755900000000004</v>
      </c>
      <c r="Q23" s="214">
        <f t="shared" si="2"/>
        <v>2.1566925000000001</v>
      </c>
      <c r="R23" s="217">
        <f>Q23*B52</f>
        <v>1.33714935</v>
      </c>
      <c r="S23" s="218">
        <v>1500</v>
      </c>
      <c r="T23" s="904">
        <f>11498</f>
        <v>11498</v>
      </c>
      <c r="U23" s="904"/>
      <c r="V23" s="219">
        <f t="shared" si="3"/>
        <v>2005.724025</v>
      </c>
      <c r="W23" s="219" t="e">
        <f>#REF!+T23</f>
        <v>#REF!</v>
      </c>
      <c r="X23" s="219">
        <f t="shared" si="4"/>
        <v>15374.5432263</v>
      </c>
    </row>
    <row r="24" spans="1:24" s="211" customFormat="1" ht="18.75" customHeight="1" x14ac:dyDescent="0.35">
      <c r="A24" s="212">
        <v>16</v>
      </c>
      <c r="B24" s="215" t="s">
        <v>361</v>
      </c>
      <c r="C24" s="215" t="s">
        <v>362</v>
      </c>
      <c r="D24" s="220" t="s">
        <v>373</v>
      </c>
      <c r="E24" s="215">
        <v>51</v>
      </c>
      <c r="F24" s="207">
        <v>29.545000000000002</v>
      </c>
      <c r="G24" s="212">
        <v>8</v>
      </c>
      <c r="H24" s="212">
        <v>4</v>
      </c>
      <c r="I24" s="212"/>
      <c r="J24" s="212">
        <v>2</v>
      </c>
      <c r="K24" s="212">
        <v>1</v>
      </c>
      <c r="L24" s="214">
        <f t="shared" si="1"/>
        <v>58.045000000000002</v>
      </c>
      <c r="M24" s="212" t="s">
        <v>187</v>
      </c>
      <c r="N24" s="215">
        <v>7.4999999999999997E-2</v>
      </c>
      <c r="O24" s="214">
        <f>VLOOKUP(M24,PID!A20:B262,2,0)</f>
        <v>1.78</v>
      </c>
      <c r="P24" s="216">
        <f t="shared" si="0"/>
        <v>103.32010000000001</v>
      </c>
      <c r="Q24" s="214">
        <f t="shared" si="2"/>
        <v>7.7490075000000003</v>
      </c>
      <c r="R24" s="217">
        <f>Q24*B52</f>
        <v>4.8043846500000003</v>
      </c>
      <c r="S24" s="218">
        <v>1500</v>
      </c>
      <c r="T24" s="904">
        <f>11498</f>
        <v>11498</v>
      </c>
      <c r="U24" s="904"/>
      <c r="V24" s="219">
        <f t="shared" si="3"/>
        <v>7206.5769749999999</v>
      </c>
      <c r="W24" s="219" t="e">
        <f>#REF!+T24</f>
        <v>#REF!</v>
      </c>
      <c r="X24" s="219">
        <f t="shared" si="4"/>
        <v>55240.814705700002</v>
      </c>
    </row>
    <row r="25" spans="1:24" s="211" customFormat="1" ht="18.75" customHeight="1" x14ac:dyDescent="0.35">
      <c r="A25" s="212">
        <v>17</v>
      </c>
      <c r="B25" s="213" t="s">
        <v>363</v>
      </c>
      <c r="C25" s="215" t="s">
        <v>364</v>
      </c>
      <c r="D25" s="220" t="s">
        <v>358</v>
      </c>
      <c r="E25" s="215">
        <v>51</v>
      </c>
      <c r="F25" s="212">
        <v>48.9</v>
      </c>
      <c r="G25" s="212">
        <v>14</v>
      </c>
      <c r="H25" s="212"/>
      <c r="I25" s="212">
        <v>2</v>
      </c>
      <c r="J25" s="212"/>
      <c r="K25" s="212">
        <v>3</v>
      </c>
      <c r="L25" s="214">
        <f t="shared" si="1"/>
        <v>84.4</v>
      </c>
      <c r="M25" s="212" t="s">
        <v>169</v>
      </c>
      <c r="N25" s="215">
        <v>7.4999999999999997E-2</v>
      </c>
      <c r="O25" s="214">
        <f>VLOOKUP(M25,PID!A21:B263,2,0)</f>
        <v>2.1</v>
      </c>
      <c r="P25" s="216">
        <f t="shared" si="0"/>
        <v>177.24</v>
      </c>
      <c r="Q25" s="214">
        <f t="shared" si="2"/>
        <v>13.293000000000001</v>
      </c>
      <c r="R25" s="217">
        <f>Q25*B52</f>
        <v>8.2416600000000013</v>
      </c>
      <c r="S25" s="218">
        <v>1500</v>
      </c>
      <c r="T25" s="904">
        <f>11498</f>
        <v>11498</v>
      </c>
      <c r="U25" s="904"/>
      <c r="V25" s="219">
        <f t="shared" si="3"/>
        <v>12362.490000000002</v>
      </c>
      <c r="W25" s="219" t="e">
        <f>#REF!+T25</f>
        <v>#REF!</v>
      </c>
      <c r="X25" s="219">
        <f t="shared" si="4"/>
        <v>94762.606680000012</v>
      </c>
    </row>
    <row r="26" spans="1:24" s="211" customFormat="1" ht="18.75" customHeight="1" x14ac:dyDescent="0.35">
      <c r="A26" s="212">
        <v>18</v>
      </c>
      <c r="B26" s="213" t="s">
        <v>356</v>
      </c>
      <c r="C26" s="215" t="s">
        <v>357</v>
      </c>
      <c r="D26" s="220" t="s">
        <v>358</v>
      </c>
      <c r="E26" s="215">
        <v>51</v>
      </c>
      <c r="F26" s="212">
        <v>22</v>
      </c>
      <c r="G26" s="212">
        <v>8</v>
      </c>
      <c r="H26" s="212"/>
      <c r="I26" s="212"/>
      <c r="J26" s="212"/>
      <c r="K26" s="212"/>
      <c r="L26" s="214">
        <f t="shared" si="1"/>
        <v>38</v>
      </c>
      <c r="M26" s="212" t="s">
        <v>187</v>
      </c>
      <c r="N26" s="215">
        <v>7.4999999999999997E-2</v>
      </c>
      <c r="O26" s="214">
        <f>VLOOKUP(M26,PID!A7:B249,2,0)</f>
        <v>1.78</v>
      </c>
      <c r="P26" s="216">
        <f t="shared" si="0"/>
        <v>67.64</v>
      </c>
      <c r="Q26" s="214">
        <f t="shared" si="2"/>
        <v>5.0729999999999995</v>
      </c>
      <c r="R26" s="217">
        <f>Q26*B52</f>
        <v>3.1452599999999995</v>
      </c>
      <c r="S26" s="218">
        <v>1500</v>
      </c>
      <c r="T26" s="904">
        <f>11498</f>
        <v>11498</v>
      </c>
      <c r="U26" s="904"/>
      <c r="V26" s="219">
        <f t="shared" si="3"/>
        <v>4717.8899999999994</v>
      </c>
      <c r="W26" s="219" t="e">
        <f>#REF!+T26</f>
        <v>#REF!</v>
      </c>
      <c r="X26" s="219">
        <f t="shared" si="4"/>
        <v>36164.199479999996</v>
      </c>
    </row>
    <row r="27" spans="1:24" s="211" customFormat="1" ht="18.75" customHeight="1" x14ac:dyDescent="0.35">
      <c r="A27" s="212">
        <v>19</v>
      </c>
      <c r="B27" s="213" t="s">
        <v>365</v>
      </c>
      <c r="C27" s="215" t="s">
        <v>368</v>
      </c>
      <c r="D27" s="220" t="s">
        <v>367</v>
      </c>
      <c r="E27" s="215">
        <v>51</v>
      </c>
      <c r="F27" s="212">
        <v>27.94</v>
      </c>
      <c r="G27" s="212">
        <v>7</v>
      </c>
      <c r="H27" s="212"/>
      <c r="I27" s="212"/>
      <c r="J27" s="212"/>
      <c r="K27" s="212">
        <v>1</v>
      </c>
      <c r="L27" s="214">
        <f t="shared" si="1"/>
        <v>43.44</v>
      </c>
      <c r="M27" s="212" t="s">
        <v>203</v>
      </c>
      <c r="N27" s="215">
        <v>0.1</v>
      </c>
      <c r="O27" s="214">
        <f>VLOOKUP(M27,PID!A8:B250,2,0)</f>
        <v>1.68</v>
      </c>
      <c r="P27" s="216">
        <f t="shared" si="0"/>
        <v>72.979199999999992</v>
      </c>
      <c r="Q27" s="214">
        <f t="shared" si="2"/>
        <v>7.2979199999999995</v>
      </c>
      <c r="R27" s="217">
        <f>Q27*B52</f>
        <v>4.5247104</v>
      </c>
      <c r="S27" s="218">
        <v>1500</v>
      </c>
      <c r="T27" s="904">
        <f>11498</f>
        <v>11498</v>
      </c>
      <c r="U27" s="904"/>
      <c r="V27" s="219">
        <f t="shared" si="3"/>
        <v>6787.0655999999999</v>
      </c>
      <c r="W27" s="219" t="e">
        <f>#REF!+T27</f>
        <v>#REF!</v>
      </c>
      <c r="X27" s="219">
        <f t="shared" si="4"/>
        <v>52025.120179199999</v>
      </c>
    </row>
    <row r="28" spans="1:24" s="211" customFormat="1" ht="18.75" customHeight="1" x14ac:dyDescent="0.35">
      <c r="A28" s="212">
        <v>20</v>
      </c>
      <c r="B28" s="213" t="s">
        <v>366</v>
      </c>
      <c r="C28" s="215" t="s">
        <v>369</v>
      </c>
      <c r="D28" s="220" t="s">
        <v>367</v>
      </c>
      <c r="E28" s="215">
        <v>51</v>
      </c>
      <c r="F28" s="212">
        <v>6.06</v>
      </c>
      <c r="G28" s="212">
        <v>1</v>
      </c>
      <c r="H28" s="212"/>
      <c r="I28" s="212"/>
      <c r="J28" s="212">
        <v>1</v>
      </c>
      <c r="K28" s="212"/>
      <c r="L28" s="214">
        <f t="shared" si="1"/>
        <v>10.559999999999999</v>
      </c>
      <c r="M28" s="212" t="s">
        <v>203</v>
      </c>
      <c r="N28" s="215">
        <v>0.1</v>
      </c>
      <c r="O28" s="214">
        <f>VLOOKUP(M28,PID!A9:B251,2,0)</f>
        <v>1.68</v>
      </c>
      <c r="P28" s="216">
        <f t="shared" si="0"/>
        <v>17.740799999999997</v>
      </c>
      <c r="Q28" s="214">
        <f t="shared" si="2"/>
        <v>1.7740799999999997</v>
      </c>
      <c r="R28" s="217">
        <f>Q28*B52</f>
        <v>1.0999295999999998</v>
      </c>
      <c r="S28" s="218">
        <v>1500</v>
      </c>
      <c r="T28" s="904">
        <f>11498</f>
        <v>11498</v>
      </c>
      <c r="U28" s="904"/>
      <c r="V28" s="219">
        <f t="shared" si="3"/>
        <v>1649.8943999999997</v>
      </c>
      <c r="W28" s="219" t="e">
        <f>#REF!+T28</f>
        <v>#REF!</v>
      </c>
      <c r="X28" s="219">
        <f t="shared" si="4"/>
        <v>12646.990540799998</v>
      </c>
    </row>
    <row r="29" spans="1:24" s="211" customFormat="1" ht="18.75" customHeight="1" x14ac:dyDescent="0.35">
      <c r="A29" s="212">
        <v>21</v>
      </c>
      <c r="B29" s="224" t="s">
        <v>371</v>
      </c>
      <c r="C29" s="215" t="s">
        <v>372</v>
      </c>
      <c r="D29" s="220" t="s">
        <v>370</v>
      </c>
      <c r="E29" s="215">
        <v>51</v>
      </c>
      <c r="F29" s="207">
        <v>9.66</v>
      </c>
      <c r="G29" s="212">
        <v>3</v>
      </c>
      <c r="H29" s="212">
        <v>2</v>
      </c>
      <c r="I29" s="212"/>
      <c r="J29" s="212">
        <v>2</v>
      </c>
      <c r="K29" s="212">
        <v>2</v>
      </c>
      <c r="L29" s="214">
        <f t="shared" si="1"/>
        <v>26.66</v>
      </c>
      <c r="M29" s="212" t="s">
        <v>203</v>
      </c>
      <c r="N29" s="215">
        <v>0.1</v>
      </c>
      <c r="O29" s="214">
        <f>VLOOKUP(M29,PID!A10:B252,2,0)</f>
        <v>1.68</v>
      </c>
      <c r="P29" s="216">
        <f t="shared" si="0"/>
        <v>44.788800000000002</v>
      </c>
      <c r="Q29" s="214">
        <f t="shared" si="2"/>
        <v>4.4788800000000002</v>
      </c>
      <c r="R29" s="217">
        <f>Q29*B52</f>
        <v>2.7769056000000001</v>
      </c>
      <c r="S29" s="218">
        <v>1500</v>
      </c>
      <c r="T29" s="904">
        <f>11498</f>
        <v>11498</v>
      </c>
      <c r="U29" s="904"/>
      <c r="V29" s="219">
        <f t="shared" si="3"/>
        <v>4165.3584000000001</v>
      </c>
      <c r="W29" s="219" t="e">
        <f>#REF!+T29</f>
        <v>#REF!</v>
      </c>
      <c r="X29" s="219">
        <f t="shared" si="4"/>
        <v>31928.860588800002</v>
      </c>
    </row>
    <row r="30" spans="1:24" s="211" customFormat="1" ht="18.75" customHeight="1" x14ac:dyDescent="0.35">
      <c r="A30" s="212">
        <v>22</v>
      </c>
      <c r="B30" s="213" t="s">
        <v>375</v>
      </c>
      <c r="C30" s="215" t="s">
        <v>376</v>
      </c>
      <c r="D30" s="220" t="s">
        <v>374</v>
      </c>
      <c r="E30" s="215">
        <v>51</v>
      </c>
      <c r="F30" s="212">
        <v>30</v>
      </c>
      <c r="G30" s="212">
        <v>4</v>
      </c>
      <c r="H30" s="212">
        <v>4</v>
      </c>
      <c r="I30" s="212">
        <v>1</v>
      </c>
      <c r="J30" s="212">
        <v>2</v>
      </c>
      <c r="K30" s="212"/>
      <c r="L30" s="214">
        <f t="shared" si="1"/>
        <v>50.5</v>
      </c>
      <c r="M30" s="212" t="s">
        <v>169</v>
      </c>
      <c r="N30" s="215">
        <v>7.4999999999999997E-2</v>
      </c>
      <c r="O30" s="214">
        <f>VLOOKUP(M30,PID!A11:B253,2,0)</f>
        <v>2.1</v>
      </c>
      <c r="P30" s="216">
        <f t="shared" si="0"/>
        <v>106.05000000000001</v>
      </c>
      <c r="Q30" s="214">
        <f t="shared" si="2"/>
        <v>7.9537500000000003</v>
      </c>
      <c r="R30" s="217">
        <f>Q30*B52</f>
        <v>4.9313250000000002</v>
      </c>
      <c r="S30" s="218">
        <v>1500</v>
      </c>
      <c r="T30" s="904">
        <f>11498</f>
        <v>11498</v>
      </c>
      <c r="U30" s="904"/>
      <c r="V30" s="219">
        <f t="shared" si="3"/>
        <v>7396.9875000000002</v>
      </c>
      <c r="W30" s="219" t="e">
        <f>#REF!+T30</f>
        <v>#REF!</v>
      </c>
      <c r="X30" s="219">
        <f t="shared" si="4"/>
        <v>56700.37485</v>
      </c>
    </row>
    <row r="31" spans="1:24" s="211" customFormat="1" ht="18.75" customHeight="1" x14ac:dyDescent="0.35">
      <c r="A31" s="212">
        <v>23</v>
      </c>
      <c r="B31" s="213" t="s">
        <v>377</v>
      </c>
      <c r="C31" s="215" t="s">
        <v>376</v>
      </c>
      <c r="D31" s="220" t="s">
        <v>374</v>
      </c>
      <c r="E31" s="215">
        <v>51</v>
      </c>
      <c r="F31" s="212">
        <v>2.2000000000000002</v>
      </c>
      <c r="G31" s="212"/>
      <c r="H31" s="212"/>
      <c r="I31" s="212"/>
      <c r="J31" s="212"/>
      <c r="K31" s="212"/>
      <c r="L31" s="214">
        <f t="shared" si="1"/>
        <v>2.2000000000000002</v>
      </c>
      <c r="M31" s="212" t="s">
        <v>196</v>
      </c>
      <c r="N31" s="215">
        <v>7.4999999999999997E-2</v>
      </c>
      <c r="O31" s="214">
        <f>VLOOKUP(M31,PID!A12:B254,2,0)</f>
        <v>1.62</v>
      </c>
      <c r="P31" s="216">
        <f t="shared" si="0"/>
        <v>3.5640000000000005</v>
      </c>
      <c r="Q31" s="214">
        <f t="shared" si="2"/>
        <v>0.26730000000000004</v>
      </c>
      <c r="R31" s="217">
        <f>Q31*B52</f>
        <v>0.16572600000000001</v>
      </c>
      <c r="S31" s="218">
        <v>1500</v>
      </c>
      <c r="T31" s="904">
        <f>11498</f>
        <v>11498</v>
      </c>
      <c r="U31" s="904"/>
      <c r="V31" s="219">
        <f t="shared" si="3"/>
        <v>248.58900000000003</v>
      </c>
      <c r="W31" s="219" t="e">
        <f>#REF!+T31</f>
        <v>#REF!</v>
      </c>
      <c r="X31" s="219">
        <f t="shared" si="4"/>
        <v>1905.517548</v>
      </c>
    </row>
    <row r="32" spans="1:24" s="211" customFormat="1" ht="18.75" customHeight="1" x14ac:dyDescent="0.35">
      <c r="A32" s="212">
        <v>24</v>
      </c>
      <c r="B32" s="213" t="s">
        <v>361</v>
      </c>
      <c r="C32" s="215" t="s">
        <v>360</v>
      </c>
      <c r="D32" s="220" t="s">
        <v>374</v>
      </c>
      <c r="E32" s="215">
        <v>51</v>
      </c>
      <c r="F32" s="212">
        <v>0.6</v>
      </c>
      <c r="G32" s="212"/>
      <c r="H32" s="212"/>
      <c r="I32" s="212"/>
      <c r="J32" s="212"/>
      <c r="K32" s="212"/>
      <c r="L32" s="214">
        <f t="shared" si="1"/>
        <v>0.6</v>
      </c>
      <c r="M32" s="212" t="s">
        <v>187</v>
      </c>
      <c r="N32" s="215">
        <v>7.4999999999999997E-2</v>
      </c>
      <c r="O32" s="214">
        <f>VLOOKUP(M32,PID!A13:B255,2,0)</f>
        <v>1.78</v>
      </c>
      <c r="P32" s="216">
        <f t="shared" si="0"/>
        <v>1.0680000000000001</v>
      </c>
      <c r="Q32" s="214">
        <f t="shared" si="2"/>
        <v>8.0100000000000005E-2</v>
      </c>
      <c r="R32" s="217">
        <f>Q32*B52</f>
        <v>4.9662000000000005E-2</v>
      </c>
      <c r="S32" s="218">
        <v>1500</v>
      </c>
      <c r="T32" s="904">
        <f>11498</f>
        <v>11498</v>
      </c>
      <c r="U32" s="904"/>
      <c r="V32" s="219">
        <f t="shared" si="3"/>
        <v>74.493000000000009</v>
      </c>
      <c r="W32" s="219" t="e">
        <f>#REF!+T32</f>
        <v>#REF!</v>
      </c>
      <c r="X32" s="219">
        <f t="shared" si="4"/>
        <v>571.01367600000003</v>
      </c>
    </row>
    <row r="33" spans="1:24" s="211" customFormat="1" ht="18.75" customHeight="1" x14ac:dyDescent="0.35">
      <c r="A33" s="212">
        <v>25</v>
      </c>
      <c r="B33" s="213" t="s">
        <v>343</v>
      </c>
      <c r="C33" s="215" t="s">
        <v>378</v>
      </c>
      <c r="D33" s="220" t="s">
        <v>374</v>
      </c>
      <c r="E33" s="215">
        <v>51</v>
      </c>
      <c r="F33" s="212">
        <v>0.5</v>
      </c>
      <c r="G33" s="212">
        <v>2</v>
      </c>
      <c r="H33" s="212">
        <v>2</v>
      </c>
      <c r="I33" s="212"/>
      <c r="J33" s="212"/>
      <c r="K33" s="212"/>
      <c r="L33" s="214">
        <f t="shared" si="1"/>
        <v>7.5</v>
      </c>
      <c r="M33" s="212" t="s">
        <v>221</v>
      </c>
      <c r="N33" s="215">
        <v>0.1</v>
      </c>
      <c r="O33" s="214">
        <f>VLOOKUP(M33,PID!A14:B256,2,0)</f>
        <v>1.35</v>
      </c>
      <c r="P33" s="216">
        <f t="shared" si="0"/>
        <v>10.125</v>
      </c>
      <c r="Q33" s="214">
        <f t="shared" si="2"/>
        <v>1.0125</v>
      </c>
      <c r="R33" s="217">
        <f>Q33*B52</f>
        <v>0.62774999999999992</v>
      </c>
      <c r="S33" s="218">
        <v>1500</v>
      </c>
      <c r="T33" s="904">
        <f>11498</f>
        <v>11498</v>
      </c>
      <c r="U33" s="904"/>
      <c r="V33" s="219">
        <f t="shared" si="3"/>
        <v>941.62499999999989</v>
      </c>
      <c r="W33" s="219" t="e">
        <f>#REF!+T33</f>
        <v>#REF!</v>
      </c>
      <c r="X33" s="219">
        <f t="shared" si="4"/>
        <v>7217.8694999999989</v>
      </c>
    </row>
    <row r="34" spans="1:24" s="211" customFormat="1" ht="18.75" customHeight="1" x14ac:dyDescent="0.35">
      <c r="A34" s="212">
        <v>26</v>
      </c>
      <c r="B34" s="213" t="s">
        <v>375</v>
      </c>
      <c r="C34" s="215" t="s">
        <v>376</v>
      </c>
      <c r="D34" s="220" t="s">
        <v>379</v>
      </c>
      <c r="E34" s="215">
        <v>51</v>
      </c>
      <c r="F34" s="212">
        <v>3.5</v>
      </c>
      <c r="G34" s="225">
        <v>3</v>
      </c>
      <c r="H34" s="212"/>
      <c r="I34" s="212">
        <v>2</v>
      </c>
      <c r="J34" s="212"/>
      <c r="K34" s="212">
        <v>1</v>
      </c>
      <c r="L34" s="214">
        <f t="shared" si="1"/>
        <v>14</v>
      </c>
      <c r="M34" s="212" t="s">
        <v>169</v>
      </c>
      <c r="N34" s="215">
        <v>7.4999999999999997E-2</v>
      </c>
      <c r="O34" s="214">
        <f>VLOOKUP(M34,PID!A15:B257,2,0)</f>
        <v>2.1</v>
      </c>
      <c r="P34" s="216">
        <f t="shared" si="0"/>
        <v>29.400000000000002</v>
      </c>
      <c r="Q34" s="214">
        <f t="shared" si="2"/>
        <v>2.2050000000000001</v>
      </c>
      <c r="R34" s="217">
        <f>Q34*B52</f>
        <v>1.3671</v>
      </c>
      <c r="S34" s="218">
        <v>1500</v>
      </c>
      <c r="T34" s="904">
        <f>11498</f>
        <v>11498</v>
      </c>
      <c r="U34" s="904"/>
      <c r="V34" s="219">
        <f t="shared" si="3"/>
        <v>2050.65</v>
      </c>
      <c r="W34" s="219" t="e">
        <f>#REF!+T34</f>
        <v>#REF!</v>
      </c>
      <c r="X34" s="219">
        <f t="shared" si="4"/>
        <v>15718.915800000001</v>
      </c>
    </row>
    <row r="35" spans="1:24" s="211" customFormat="1" ht="18.75" customHeight="1" x14ac:dyDescent="0.35">
      <c r="A35" s="212">
        <v>27</v>
      </c>
      <c r="B35" s="213" t="s">
        <v>380</v>
      </c>
      <c r="C35" s="215" t="s">
        <v>381</v>
      </c>
      <c r="D35" s="220" t="s">
        <v>379</v>
      </c>
      <c r="E35" s="215">
        <v>51</v>
      </c>
      <c r="F35" s="212">
        <v>12</v>
      </c>
      <c r="G35" s="212">
        <v>2</v>
      </c>
      <c r="H35" s="212">
        <v>2</v>
      </c>
      <c r="I35" s="212"/>
      <c r="J35" s="212">
        <v>1</v>
      </c>
      <c r="K35" s="212"/>
      <c r="L35" s="214">
        <f t="shared" si="1"/>
        <v>21.5</v>
      </c>
      <c r="M35" s="212" t="s">
        <v>178</v>
      </c>
      <c r="N35" s="215">
        <v>7.4999999999999997E-2</v>
      </c>
      <c r="O35" s="214">
        <f>VLOOKUP(M35,PID!A16:B258,2,0)</f>
        <v>1.94</v>
      </c>
      <c r="P35" s="216">
        <f t="shared" si="0"/>
        <v>41.71</v>
      </c>
      <c r="Q35" s="214">
        <f t="shared" si="2"/>
        <v>3.12825</v>
      </c>
      <c r="R35" s="217">
        <f>Q35*B52</f>
        <v>1.9395149999999999</v>
      </c>
      <c r="S35" s="218">
        <v>1500</v>
      </c>
      <c r="T35" s="904">
        <f>11498</f>
        <v>11498</v>
      </c>
      <c r="U35" s="904"/>
      <c r="V35" s="219">
        <f t="shared" si="3"/>
        <v>2909.2725</v>
      </c>
      <c r="W35" s="219" t="e">
        <f>#REF!+T35</f>
        <v>#REF!</v>
      </c>
      <c r="X35" s="219">
        <f t="shared" si="4"/>
        <v>22300.543469999997</v>
      </c>
    </row>
    <row r="36" spans="1:24" s="211" customFormat="1" ht="18.75" customHeight="1" x14ac:dyDescent="0.35">
      <c r="A36" s="212">
        <v>28</v>
      </c>
      <c r="B36" s="213" t="s">
        <v>328</v>
      </c>
      <c r="C36" s="215" t="s">
        <v>382</v>
      </c>
      <c r="D36" s="220" t="s">
        <v>379</v>
      </c>
      <c r="E36" s="215">
        <v>51</v>
      </c>
      <c r="F36" s="212">
        <v>2.5</v>
      </c>
      <c r="G36" s="212"/>
      <c r="H36" s="212">
        <v>1</v>
      </c>
      <c r="I36" s="212"/>
      <c r="J36" s="212"/>
      <c r="K36" s="212"/>
      <c r="L36" s="214">
        <f t="shared" si="1"/>
        <v>4</v>
      </c>
      <c r="M36" s="212" t="s">
        <v>232</v>
      </c>
      <c r="N36" s="215">
        <v>7.4999999999999997E-2</v>
      </c>
      <c r="O36" s="214">
        <f>VLOOKUP(M36,PID!A17:B259,2,0)</f>
        <v>0.95</v>
      </c>
      <c r="P36" s="216">
        <f t="shared" si="0"/>
        <v>3.8</v>
      </c>
      <c r="Q36" s="214">
        <f t="shared" si="2"/>
        <v>0.28499999999999998</v>
      </c>
      <c r="R36" s="217">
        <f>Q36*B52</f>
        <v>0.1767</v>
      </c>
      <c r="S36" s="218">
        <v>1500</v>
      </c>
      <c r="T36" s="904">
        <f>11498</f>
        <v>11498</v>
      </c>
      <c r="U36" s="904"/>
      <c r="V36" s="219">
        <f t="shared" si="3"/>
        <v>265.05</v>
      </c>
      <c r="W36" s="219" t="e">
        <f>#REF!+T36</f>
        <v>#REF!</v>
      </c>
      <c r="X36" s="219">
        <f t="shared" si="4"/>
        <v>2031.6966</v>
      </c>
    </row>
    <row r="37" spans="1:24" s="211" customFormat="1" ht="18.75" customHeight="1" x14ac:dyDescent="0.35">
      <c r="A37" s="212">
        <v>29</v>
      </c>
      <c r="B37" s="213" t="s">
        <v>384</v>
      </c>
      <c r="C37" s="215" t="s">
        <v>385</v>
      </c>
      <c r="D37" s="220" t="s">
        <v>383</v>
      </c>
      <c r="E37" s="215">
        <v>51</v>
      </c>
      <c r="F37" s="212">
        <v>30.8</v>
      </c>
      <c r="G37" s="212">
        <v>8</v>
      </c>
      <c r="H37" s="212"/>
      <c r="I37" s="212"/>
      <c r="J37" s="212"/>
      <c r="K37" s="212"/>
      <c r="L37" s="214">
        <f t="shared" si="1"/>
        <v>46.8</v>
      </c>
      <c r="M37" s="212" t="s">
        <v>214</v>
      </c>
      <c r="N37" s="215">
        <v>7.4999999999999997E-2</v>
      </c>
      <c r="O37" s="214">
        <f>VLOOKUP(M37,PID!A18:B260,2,0)</f>
        <v>1.36</v>
      </c>
      <c r="P37" s="216">
        <f t="shared" si="0"/>
        <v>63.648000000000003</v>
      </c>
      <c r="Q37" s="214">
        <f t="shared" si="2"/>
        <v>4.7736000000000001</v>
      </c>
      <c r="R37" s="217">
        <f>Q37*B52</f>
        <v>2.959632</v>
      </c>
      <c r="S37" s="218">
        <v>1500</v>
      </c>
      <c r="T37" s="904">
        <f>11498</f>
        <v>11498</v>
      </c>
      <c r="U37" s="904"/>
      <c r="V37" s="219">
        <f t="shared" si="3"/>
        <v>4439.4480000000003</v>
      </c>
      <c r="W37" s="219" t="e">
        <f>#REF!+T37</f>
        <v>#REF!</v>
      </c>
      <c r="X37" s="219">
        <f t="shared" si="4"/>
        <v>34029.848736</v>
      </c>
    </row>
    <row r="38" spans="1:24" s="211" customFormat="1" ht="18.75" customHeight="1" x14ac:dyDescent="0.35">
      <c r="A38" s="212">
        <v>30</v>
      </c>
      <c r="B38" s="213" t="s">
        <v>386</v>
      </c>
      <c r="C38" s="215" t="s">
        <v>389</v>
      </c>
      <c r="D38" s="220" t="s">
        <v>390</v>
      </c>
      <c r="E38" s="215">
        <v>51</v>
      </c>
      <c r="F38" s="221">
        <v>1.575</v>
      </c>
      <c r="G38" s="212">
        <v>1</v>
      </c>
      <c r="H38" s="212"/>
      <c r="I38" s="212"/>
      <c r="J38" s="212">
        <v>1</v>
      </c>
      <c r="K38" s="212"/>
      <c r="L38" s="214">
        <f t="shared" si="1"/>
        <v>6.0750000000000002</v>
      </c>
      <c r="M38" s="212" t="s">
        <v>250</v>
      </c>
      <c r="N38" s="215">
        <v>7.4999999999999997E-2</v>
      </c>
      <c r="O38" s="214">
        <f>VLOOKUP(M38,PID!A19:B261,2,0)</f>
        <v>0.78</v>
      </c>
      <c r="P38" s="216">
        <f t="shared" si="0"/>
        <v>4.7385000000000002</v>
      </c>
      <c r="Q38" s="214">
        <f t="shared" si="2"/>
        <v>0.35538750000000002</v>
      </c>
      <c r="R38" s="217">
        <f>Q38*B52</f>
        <v>0.22034025000000002</v>
      </c>
      <c r="S38" s="218">
        <v>1500</v>
      </c>
      <c r="T38" s="904">
        <f>11498</f>
        <v>11498</v>
      </c>
      <c r="U38" s="904"/>
      <c r="V38" s="219">
        <f t="shared" si="3"/>
        <v>330.51037500000001</v>
      </c>
      <c r="W38" s="219" t="e">
        <f>#REF!+T38</f>
        <v>#REF!</v>
      </c>
      <c r="X38" s="219">
        <f t="shared" si="4"/>
        <v>2533.4721945000001</v>
      </c>
    </row>
    <row r="39" spans="1:24" s="211" customFormat="1" ht="18.75" customHeight="1" x14ac:dyDescent="0.35">
      <c r="A39" s="212">
        <v>31</v>
      </c>
      <c r="B39" s="213" t="s">
        <v>387</v>
      </c>
      <c r="C39" s="215" t="s">
        <v>388</v>
      </c>
      <c r="D39" s="220" t="s">
        <v>390</v>
      </c>
      <c r="E39" s="215">
        <v>51</v>
      </c>
      <c r="F39" s="221">
        <v>1.4350000000000001</v>
      </c>
      <c r="G39" s="212"/>
      <c r="H39" s="212">
        <v>4</v>
      </c>
      <c r="I39" s="212">
        <v>1</v>
      </c>
      <c r="J39" s="212">
        <v>1</v>
      </c>
      <c r="K39" s="212">
        <v>1</v>
      </c>
      <c r="L39" s="214">
        <f t="shared" si="1"/>
        <v>12.935</v>
      </c>
      <c r="M39" s="212" t="s">
        <v>250</v>
      </c>
      <c r="N39" s="215">
        <v>7.4999999999999997E-2</v>
      </c>
      <c r="O39" s="214">
        <f>VLOOKUP(M39,PID!A20:B262,2,0)</f>
        <v>0.78</v>
      </c>
      <c r="P39" s="216">
        <f t="shared" si="0"/>
        <v>10.089300000000001</v>
      </c>
      <c r="Q39" s="214">
        <f t="shared" si="2"/>
        <v>0.75669750000000013</v>
      </c>
      <c r="R39" s="217">
        <f>Q39*B52</f>
        <v>0.46915245000000005</v>
      </c>
      <c r="S39" s="218">
        <v>1500</v>
      </c>
      <c r="T39" s="904">
        <f>11498</f>
        <v>11498</v>
      </c>
      <c r="U39" s="904"/>
      <c r="V39" s="219">
        <f t="shared" si="3"/>
        <v>703.72867500000007</v>
      </c>
      <c r="W39" s="219" t="e">
        <f>#REF!+T39</f>
        <v>#REF!</v>
      </c>
      <c r="X39" s="219">
        <f t="shared" si="4"/>
        <v>5394.3148701000009</v>
      </c>
    </row>
    <row r="40" spans="1:24" s="211" customFormat="1" ht="18.75" customHeight="1" x14ac:dyDescent="0.35">
      <c r="A40" s="212">
        <v>32</v>
      </c>
      <c r="B40" s="213" t="s">
        <v>391</v>
      </c>
      <c r="C40" s="215" t="s">
        <v>393</v>
      </c>
      <c r="D40" s="220" t="s">
        <v>392</v>
      </c>
      <c r="E40" s="215">
        <v>51</v>
      </c>
      <c r="F40" s="212">
        <v>6.8</v>
      </c>
      <c r="G40" s="212">
        <v>2</v>
      </c>
      <c r="H40" s="212">
        <v>1</v>
      </c>
      <c r="I40" s="212"/>
      <c r="J40" s="212">
        <v>1</v>
      </c>
      <c r="K40" s="212"/>
      <c r="L40" s="214">
        <f t="shared" si="1"/>
        <v>14.8</v>
      </c>
      <c r="M40" s="212" t="s">
        <v>187</v>
      </c>
      <c r="N40" s="215">
        <v>7.4999999999999997E-2</v>
      </c>
      <c r="O40" s="214">
        <f>VLOOKUP(M40,PID!A21:B263,2,0)</f>
        <v>1.78</v>
      </c>
      <c r="P40" s="216">
        <f t="shared" si="0"/>
        <v>26.344000000000001</v>
      </c>
      <c r="Q40" s="214">
        <f t="shared" si="2"/>
        <v>1.9758</v>
      </c>
      <c r="R40" s="217">
        <f>Q40*B52</f>
        <v>1.224996</v>
      </c>
      <c r="S40" s="218">
        <v>1500</v>
      </c>
      <c r="T40" s="904">
        <f>11498</f>
        <v>11498</v>
      </c>
      <c r="U40" s="904"/>
      <c r="V40" s="219">
        <f t="shared" si="3"/>
        <v>1837.4939999999999</v>
      </c>
      <c r="W40" s="219" t="e">
        <f>#REF!+T40</f>
        <v>#REF!</v>
      </c>
      <c r="X40" s="219">
        <f t="shared" si="4"/>
        <v>14085.004008</v>
      </c>
    </row>
    <row r="41" spans="1:24" s="211" customFormat="1" ht="18.75" customHeight="1" x14ac:dyDescent="0.35">
      <c r="A41" s="212">
        <v>33</v>
      </c>
      <c r="B41" s="213" t="s">
        <v>399</v>
      </c>
      <c r="C41" s="215" t="s">
        <v>401</v>
      </c>
      <c r="D41" s="220" t="s">
        <v>400</v>
      </c>
      <c r="E41" s="215">
        <v>51</v>
      </c>
      <c r="F41" s="212">
        <v>16.5</v>
      </c>
      <c r="G41" s="212">
        <v>4</v>
      </c>
      <c r="H41" s="212"/>
      <c r="I41" s="212"/>
      <c r="J41" s="212"/>
      <c r="K41" s="212"/>
      <c r="L41" s="214">
        <f t="shared" si="1"/>
        <v>24.5</v>
      </c>
      <c r="M41" s="212" t="s">
        <v>212</v>
      </c>
      <c r="N41" s="215">
        <v>0.1</v>
      </c>
      <c r="O41" s="214">
        <f>VLOOKUP(M41,PID!A22:B264,2,0)</f>
        <v>1.52</v>
      </c>
      <c r="P41" s="216">
        <f t="shared" si="0"/>
        <v>37.24</v>
      </c>
      <c r="Q41" s="214">
        <f t="shared" si="2"/>
        <v>3.7240000000000002</v>
      </c>
      <c r="R41" s="217">
        <f>Q41*B52</f>
        <v>2.3088800000000003</v>
      </c>
      <c r="S41" s="218">
        <v>1500</v>
      </c>
      <c r="T41" s="904">
        <f>11498</f>
        <v>11498</v>
      </c>
      <c r="U41" s="904"/>
      <c r="V41" s="219">
        <f t="shared" si="3"/>
        <v>3463.3200000000006</v>
      </c>
      <c r="W41" s="219" t="e">
        <f>#REF!+T41</f>
        <v>#REF!</v>
      </c>
      <c r="X41" s="219">
        <f t="shared" si="4"/>
        <v>26547.502240000002</v>
      </c>
    </row>
    <row r="42" spans="1:24" s="211" customFormat="1" ht="18.75" customHeight="1" x14ac:dyDescent="0.35">
      <c r="A42" s="212">
        <v>34</v>
      </c>
      <c r="B42" s="213" t="s">
        <v>402</v>
      </c>
      <c r="C42" s="215" t="s">
        <v>401</v>
      </c>
      <c r="D42" s="220" t="s">
        <v>403</v>
      </c>
      <c r="E42" s="215">
        <v>51</v>
      </c>
      <c r="F42" s="212">
        <v>15</v>
      </c>
      <c r="G42" s="212">
        <v>4</v>
      </c>
      <c r="H42" s="212"/>
      <c r="I42" s="212"/>
      <c r="J42" s="212"/>
      <c r="K42" s="212"/>
      <c r="L42" s="214">
        <f t="shared" si="1"/>
        <v>23</v>
      </c>
      <c r="M42" s="212" t="s">
        <v>212</v>
      </c>
      <c r="N42" s="215">
        <v>0.1</v>
      </c>
      <c r="O42" s="214">
        <f>VLOOKUP(M42,PID!A22:B264,2,0)</f>
        <v>1.52</v>
      </c>
      <c r="P42" s="216">
        <f>L42*O42</f>
        <v>34.96</v>
      </c>
      <c r="Q42" s="214">
        <f t="shared" si="2"/>
        <v>3.4960000000000004</v>
      </c>
      <c r="R42" s="217">
        <f>Q42*B52</f>
        <v>2.1675200000000001</v>
      </c>
      <c r="S42" s="218">
        <v>1500</v>
      </c>
      <c r="T42" s="904">
        <f>11498</f>
        <v>11498</v>
      </c>
      <c r="U42" s="904"/>
      <c r="V42" s="219">
        <f t="shared" si="3"/>
        <v>3251.28</v>
      </c>
      <c r="W42" s="219" t="e">
        <f>#REF!+T42</f>
        <v>#REF!</v>
      </c>
      <c r="X42" s="219">
        <f t="shared" si="4"/>
        <v>24922.144960000001</v>
      </c>
    </row>
    <row r="43" spans="1:24" s="211" customFormat="1" ht="18.75" customHeight="1" x14ac:dyDescent="0.35">
      <c r="A43" s="212">
        <v>35</v>
      </c>
      <c r="B43" s="213" t="s">
        <v>404</v>
      </c>
      <c r="C43" s="215" t="s">
        <v>406</v>
      </c>
      <c r="D43" s="220" t="s">
        <v>405</v>
      </c>
      <c r="E43" s="215">
        <v>51</v>
      </c>
      <c r="F43" s="212">
        <v>34.200000000000003</v>
      </c>
      <c r="G43" s="212">
        <v>15</v>
      </c>
      <c r="H43" s="212"/>
      <c r="I43" s="212">
        <v>1</v>
      </c>
      <c r="J43" s="212">
        <v>1</v>
      </c>
      <c r="K43" s="212">
        <v>1</v>
      </c>
      <c r="L43" s="214">
        <f t="shared" si="1"/>
        <v>69.7</v>
      </c>
      <c r="M43" s="212" t="s">
        <v>230</v>
      </c>
      <c r="N43" s="215">
        <v>0.1</v>
      </c>
      <c r="O43" s="214">
        <f>VLOOKUP(M43,PID!A23:B265,2,0)</f>
        <v>1.1100000000000001</v>
      </c>
      <c r="P43" s="216">
        <f>L43*O43</f>
        <v>77.367000000000004</v>
      </c>
      <c r="Q43" s="214">
        <f t="shared" si="2"/>
        <v>7.7367000000000008</v>
      </c>
      <c r="R43" s="217">
        <f>Q43*B52</f>
        <v>4.7967540000000009</v>
      </c>
      <c r="S43" s="218">
        <v>1500</v>
      </c>
      <c r="T43" s="904">
        <f>11498</f>
        <v>11498</v>
      </c>
      <c r="U43" s="904"/>
      <c r="V43" s="219">
        <f>(S43*R43)</f>
        <v>7195.1310000000012</v>
      </c>
      <c r="W43" s="219" t="e">
        <f>#REF!+T43</f>
        <v>#REF!</v>
      </c>
      <c r="X43" s="219">
        <f t="shared" si="4"/>
        <v>55153.077492000011</v>
      </c>
    </row>
    <row r="44" spans="1:24" s="211" customFormat="1" ht="18.75" customHeight="1" x14ac:dyDescent="0.35">
      <c r="A44" s="212">
        <v>36</v>
      </c>
      <c r="B44" s="213" t="s">
        <v>407</v>
      </c>
      <c r="C44" s="215" t="s">
        <v>408</v>
      </c>
      <c r="D44" s="220" t="s">
        <v>409</v>
      </c>
      <c r="E44" s="215">
        <v>51</v>
      </c>
      <c r="F44" s="212">
        <v>11</v>
      </c>
      <c r="G44" s="212">
        <v>5</v>
      </c>
      <c r="H44" s="212">
        <v>1</v>
      </c>
      <c r="I44" s="212"/>
      <c r="J44" s="212"/>
      <c r="K44" s="212"/>
      <c r="L44" s="214">
        <f>F44+(G44*2)+(H44*1.5)+(I44*1.5)+(J44*2.5)+(K44*1.5)</f>
        <v>22.5</v>
      </c>
      <c r="M44" s="212" t="s">
        <v>203</v>
      </c>
      <c r="N44" s="215">
        <v>0.1</v>
      </c>
      <c r="O44" s="214">
        <f>VLOOKUP(M44,PID!A23:B265,2,0)</f>
        <v>1.68</v>
      </c>
      <c r="P44" s="216">
        <f>L44*O44</f>
        <v>37.799999999999997</v>
      </c>
      <c r="Q44" s="214">
        <f>P44*N44</f>
        <v>3.78</v>
      </c>
      <c r="R44" s="217">
        <f>Q44*B52</f>
        <v>2.3435999999999999</v>
      </c>
      <c r="S44" s="218">
        <v>1500</v>
      </c>
      <c r="T44" s="904">
        <f>11498</f>
        <v>11498</v>
      </c>
      <c r="U44" s="904"/>
      <c r="V44" s="219">
        <f>(S44*R44)</f>
        <v>3515.3999999999996</v>
      </c>
      <c r="W44" s="219" t="e">
        <f>#REF!+T44</f>
        <v>#REF!</v>
      </c>
      <c r="X44" s="219">
        <f t="shared" si="4"/>
        <v>26946.712799999998</v>
      </c>
    </row>
    <row r="45" spans="1:24" s="211" customFormat="1" ht="18.75" customHeight="1" x14ac:dyDescent="0.35">
      <c r="A45" s="212">
        <v>37</v>
      </c>
      <c r="B45" s="905" t="s">
        <v>597</v>
      </c>
      <c r="C45" s="906"/>
      <c r="D45" s="220" t="s">
        <v>433</v>
      </c>
      <c r="E45" s="215">
        <v>83</v>
      </c>
      <c r="F45" s="212"/>
      <c r="G45" s="212"/>
      <c r="H45" s="212"/>
      <c r="I45" s="212"/>
      <c r="J45" s="212"/>
      <c r="K45" s="212"/>
      <c r="L45" s="214">
        <f>F45+(G45*2)+(H45*1.5)+(I45*1.5)+(J45*2.5)+(K45*1.5)</f>
        <v>0</v>
      </c>
      <c r="M45" s="212" t="s">
        <v>232</v>
      </c>
      <c r="N45" s="215">
        <v>7.4999999999999997E-2</v>
      </c>
      <c r="O45" s="214">
        <f>VLOOKUP(M45,PID!A29:B271,2,0)</f>
        <v>0.95</v>
      </c>
      <c r="P45" s="216">
        <v>80</v>
      </c>
      <c r="Q45" s="214">
        <f>P45*N45</f>
        <v>6</v>
      </c>
      <c r="R45" s="217">
        <f>Q45</f>
        <v>6</v>
      </c>
      <c r="S45" s="218">
        <v>1500</v>
      </c>
      <c r="T45" s="904">
        <f>11498</f>
        <v>11498</v>
      </c>
      <c r="U45" s="904"/>
      <c r="V45" s="219">
        <f>S45*Q45</f>
        <v>9000</v>
      </c>
      <c r="W45" s="219" t="e">
        <f>#REF!+T45</f>
        <v>#REF!</v>
      </c>
      <c r="X45" s="219">
        <f t="shared" si="4"/>
        <v>68988</v>
      </c>
    </row>
    <row r="46" spans="1:24" s="211" customFormat="1" ht="18.75" customHeight="1" thickBot="1" x14ac:dyDescent="0.4">
      <c r="A46" s="226">
        <v>38</v>
      </c>
      <c r="B46" s="907" t="s">
        <v>599</v>
      </c>
      <c r="C46" s="908"/>
      <c r="D46" s="228" t="s">
        <v>433</v>
      </c>
      <c r="E46" s="227" t="s">
        <v>598</v>
      </c>
      <c r="F46" s="226"/>
      <c r="G46" s="226"/>
      <c r="H46" s="226"/>
      <c r="I46" s="226"/>
      <c r="J46" s="226"/>
      <c r="K46" s="226"/>
      <c r="L46" s="229">
        <f>F46+(G46*2)+(H46*1.5)+(I46*1.5)+(J46*2.5)+(K46*1.5)</f>
        <v>0</v>
      </c>
      <c r="M46" s="226" t="s">
        <v>250</v>
      </c>
      <c r="N46" s="227">
        <v>7.4999999999999997E-2</v>
      </c>
      <c r="O46" s="229">
        <f>VLOOKUP(M46,PID!A30:B272,2,0)</f>
        <v>0.78</v>
      </c>
      <c r="P46" s="230">
        <v>80</v>
      </c>
      <c r="Q46" s="229">
        <f>P46*N46</f>
        <v>6</v>
      </c>
      <c r="R46" s="217">
        <f>Q46</f>
        <v>6</v>
      </c>
      <c r="S46" s="218">
        <v>1500</v>
      </c>
      <c r="T46" s="904">
        <f>11498</f>
        <v>11498</v>
      </c>
      <c r="U46" s="904"/>
      <c r="V46" s="219">
        <f>S46*Q46</f>
        <v>9000</v>
      </c>
      <c r="W46" s="231" t="e">
        <f>#REF!+T46</f>
        <v>#REF!</v>
      </c>
      <c r="X46" s="219">
        <f t="shared" si="4"/>
        <v>68988</v>
      </c>
    </row>
    <row r="47" spans="1:24" s="233" customFormat="1" ht="18.75" customHeight="1" thickBot="1" x14ac:dyDescent="0.25">
      <c r="A47" s="923"/>
      <c r="B47" s="924"/>
      <c r="C47" s="924"/>
      <c r="D47" s="924"/>
      <c r="E47" s="924"/>
      <c r="F47" s="924"/>
      <c r="G47" s="924"/>
      <c r="H47" s="924"/>
      <c r="I47" s="924"/>
      <c r="J47" s="924"/>
      <c r="K47" s="924"/>
      <c r="L47" s="924"/>
      <c r="M47" s="924"/>
      <c r="N47" s="924"/>
      <c r="O47" s="924"/>
      <c r="P47" s="924"/>
      <c r="Q47" s="925"/>
      <c r="R47" s="921" t="s">
        <v>23</v>
      </c>
      <c r="S47" s="921"/>
      <c r="T47" s="921"/>
      <c r="U47" s="922"/>
      <c r="V47" s="232">
        <f>SUM(V9:V46)</f>
        <v>156489.17370000007</v>
      </c>
      <c r="W47" s="232" t="e">
        <f>SUM(W9:W45)</f>
        <v>#REF!</v>
      </c>
      <c r="X47" s="232">
        <f>SUM(X9:X46)</f>
        <v>1199541.6794684003</v>
      </c>
    </row>
    <row r="48" spans="1:24" s="238" customFormat="1" ht="20.100000000000001" customHeight="1" x14ac:dyDescent="0.25">
      <c r="A48" s="234"/>
      <c r="B48" s="235"/>
      <c r="C48" s="235"/>
      <c r="D48" s="235"/>
      <c r="E48" s="235"/>
      <c r="F48" s="235"/>
      <c r="G48" s="235"/>
      <c r="H48" s="235"/>
      <c r="I48" s="235"/>
      <c r="J48" s="235"/>
      <c r="K48" s="235"/>
      <c r="L48" s="235"/>
      <c r="M48" s="235"/>
      <c r="N48" s="235"/>
      <c r="O48" s="235"/>
      <c r="P48" s="377">
        <f>SUM(P9:P46)</f>
        <v>1844.4376000000002</v>
      </c>
      <c r="Q48" s="235"/>
      <c r="R48" s="926" t="s">
        <v>596</v>
      </c>
      <c r="S48" s="926"/>
      <c r="T48" s="926"/>
      <c r="U48" s="926"/>
      <c r="V48" s="926"/>
      <c r="W48" s="236"/>
      <c r="X48" s="237">
        <f>V47+X47</f>
        <v>1356030.8531684005</v>
      </c>
    </row>
    <row r="49" spans="1:25" x14ac:dyDescent="0.3">
      <c r="A49" s="903"/>
      <c r="B49" s="903"/>
      <c r="C49" s="903"/>
      <c r="D49" s="903"/>
      <c r="E49" s="903"/>
      <c r="F49" s="903"/>
      <c r="G49" s="903"/>
      <c r="H49" s="903"/>
      <c r="I49" s="903"/>
      <c r="J49" s="903"/>
      <c r="K49" s="903"/>
      <c r="L49" s="903"/>
      <c r="M49" s="903"/>
      <c r="N49" s="903"/>
      <c r="O49" s="903"/>
      <c r="P49" s="903"/>
      <c r="Q49" s="903"/>
      <c r="R49" s="903"/>
      <c r="S49" s="903"/>
      <c r="T49" s="903"/>
      <c r="U49" s="903"/>
      <c r="V49" s="903"/>
      <c r="W49" s="903"/>
      <c r="X49" s="903"/>
      <c r="Y49" s="239"/>
    </row>
    <row r="50" spans="1:25" ht="15.75" customHeight="1" x14ac:dyDescent="0.3">
      <c r="A50" s="239"/>
      <c r="B50" s="239"/>
      <c r="C50" s="239"/>
      <c r="D50" s="239"/>
      <c r="E50" s="239"/>
      <c r="F50" s="239"/>
      <c r="G50" s="239"/>
      <c r="H50" s="239"/>
      <c r="I50" s="239"/>
      <c r="J50" s="239"/>
      <c r="K50" s="239"/>
      <c r="L50" s="240"/>
      <c r="M50" s="239"/>
      <c r="N50" s="239"/>
      <c r="O50" s="239"/>
      <c r="P50" s="241"/>
      <c r="Q50" s="239"/>
      <c r="R50" s="232">
        <f>SUM(R9:R48)</f>
        <v>104.32611580000003</v>
      </c>
      <c r="S50" s="239"/>
      <c r="T50" s="239"/>
      <c r="U50" s="239"/>
      <c r="V50" s="239"/>
      <c r="W50" s="239"/>
      <c r="X50" s="239"/>
      <c r="Y50" s="239"/>
    </row>
    <row r="51" spans="1:25" ht="18" customHeight="1" x14ac:dyDescent="0.3">
      <c r="A51" s="242" t="s">
        <v>456</v>
      </c>
      <c r="B51" s="242"/>
      <c r="C51" s="242"/>
      <c r="D51" s="242"/>
      <c r="E51" s="242"/>
      <c r="F51" s="242"/>
      <c r="G51" s="242"/>
      <c r="H51" s="242"/>
      <c r="I51" s="242"/>
      <c r="J51" s="242"/>
      <c r="K51" s="242"/>
      <c r="L51" s="242"/>
      <c r="M51" s="242"/>
      <c r="N51" s="242"/>
      <c r="O51" s="242"/>
      <c r="P51" s="242"/>
      <c r="Q51" s="242"/>
      <c r="R51" s="242"/>
      <c r="S51" s="242"/>
      <c r="T51" s="242"/>
      <c r="U51" s="242"/>
      <c r="V51" s="242"/>
      <c r="W51" s="242"/>
      <c r="X51" s="242"/>
      <c r="Y51" s="239"/>
    </row>
    <row r="52" spans="1:25" ht="14.25" customHeight="1" x14ac:dyDescent="0.3">
      <c r="A52" s="239"/>
      <c r="B52" s="243">
        <v>0.62</v>
      </c>
      <c r="C52" s="239"/>
      <c r="D52" s="239"/>
      <c r="E52" s="239"/>
      <c r="F52" s="239"/>
      <c r="G52" s="239"/>
      <c r="H52" s="239"/>
      <c r="I52" s="239"/>
      <c r="J52" s="239"/>
      <c r="K52" s="239"/>
      <c r="L52" s="239"/>
      <c r="M52" s="239"/>
      <c r="N52" s="239"/>
      <c r="O52" s="239"/>
      <c r="P52" s="239"/>
      <c r="Q52" s="239"/>
      <c r="R52" s="239"/>
      <c r="S52" s="239"/>
      <c r="T52" s="239"/>
      <c r="U52" s="239"/>
      <c r="V52" s="239"/>
      <c r="W52" s="239"/>
      <c r="X52" s="239"/>
      <c r="Y52" s="239"/>
    </row>
    <row r="55" spans="1:25" x14ac:dyDescent="0.3">
      <c r="A55" s="902"/>
      <c r="B55" s="902"/>
      <c r="C55" s="902"/>
      <c r="D55" s="244"/>
      <c r="E55" s="244"/>
    </row>
    <row r="56" spans="1:25" x14ac:dyDescent="0.3">
      <c r="A56" s="900"/>
      <c r="B56" s="900"/>
      <c r="C56" s="900"/>
      <c r="D56" s="245"/>
      <c r="E56" s="245"/>
    </row>
    <row r="57" spans="1:25" x14ac:dyDescent="0.3">
      <c r="A57" s="900"/>
      <c r="B57" s="900"/>
      <c r="C57" s="900"/>
      <c r="D57" s="245"/>
      <c r="E57" s="245"/>
    </row>
    <row r="58" spans="1:25" x14ac:dyDescent="0.3">
      <c r="A58" s="900"/>
      <c r="B58" s="900"/>
      <c r="C58" s="900"/>
      <c r="D58" s="245"/>
      <c r="E58" s="245"/>
    </row>
    <row r="59" spans="1:25" x14ac:dyDescent="0.3">
      <c r="A59" s="900"/>
      <c r="B59" s="900"/>
      <c r="C59" s="900"/>
      <c r="D59" s="245"/>
      <c r="E59" s="245"/>
    </row>
    <row r="60" spans="1:25" x14ac:dyDescent="0.3">
      <c r="A60" s="900"/>
      <c r="B60" s="900"/>
      <c r="C60" s="900"/>
      <c r="D60" s="245"/>
      <c r="E60" s="245"/>
    </row>
    <row r="61" spans="1:25" x14ac:dyDescent="0.3">
      <c r="A61" s="900"/>
      <c r="B61" s="900"/>
      <c r="C61" s="900"/>
      <c r="D61" s="245"/>
      <c r="E61" s="245"/>
    </row>
  </sheetData>
  <sheetProtection selectLockedCells="1" selectUnlockedCells="1"/>
  <mergeCells count="71">
    <mergeCell ref="V6:V8"/>
    <mergeCell ref="R47:U47"/>
    <mergeCell ref="A47:Q47"/>
    <mergeCell ref="R48:V48"/>
    <mergeCell ref="T44:U44"/>
    <mergeCell ref="T45:U45"/>
    <mergeCell ref="T46:U46"/>
    <mergeCell ref="T41:U41"/>
    <mergeCell ref="T37:U37"/>
    <mergeCell ref="T38:U38"/>
    <mergeCell ref="T39:U39"/>
    <mergeCell ref="T43:U43"/>
    <mergeCell ref="T40:U40"/>
    <mergeCell ref="O6:Q6"/>
    <mergeCell ref="T9:U9"/>
    <mergeCell ref="T10:U10"/>
    <mergeCell ref="A1:B3"/>
    <mergeCell ref="C1:X3"/>
    <mergeCell ref="A6:A8"/>
    <mergeCell ref="B6:B8"/>
    <mergeCell ref="C6:C8"/>
    <mergeCell ref="D6:D8"/>
    <mergeCell ref="F6:K6"/>
    <mergeCell ref="T6:U8"/>
    <mergeCell ref="F7:F8"/>
    <mergeCell ref="G7:G8"/>
    <mergeCell ref="H7:H8"/>
    <mergeCell ref="I7:I8"/>
    <mergeCell ref="J7:J8"/>
    <mergeCell ref="W6:W8"/>
    <mergeCell ref="X6:X8"/>
    <mergeCell ref="K7:K8"/>
    <mergeCell ref="T12:U12"/>
    <mergeCell ref="T13:U13"/>
    <mergeCell ref="S6:S8"/>
    <mergeCell ref="T14:U14"/>
    <mergeCell ref="T11:U11"/>
    <mergeCell ref="T15:U15"/>
    <mergeCell ref="T16:U16"/>
    <mergeCell ref="T17:U17"/>
    <mergeCell ref="T18:U18"/>
    <mergeCell ref="T19:U19"/>
    <mergeCell ref="T20:U20"/>
    <mergeCell ref="T21:U21"/>
    <mergeCell ref="T22:U22"/>
    <mergeCell ref="T23:U23"/>
    <mergeCell ref="T30:U30"/>
    <mergeCell ref="T28:U28"/>
    <mergeCell ref="T29:U29"/>
    <mergeCell ref="T36:U36"/>
    <mergeCell ref="B45:C45"/>
    <mergeCell ref="B46:C46"/>
    <mergeCell ref="T31:U31"/>
    <mergeCell ref="T32:U32"/>
    <mergeCell ref="T33:U33"/>
    <mergeCell ref="A60:C60"/>
    <mergeCell ref="A61:C61"/>
    <mergeCell ref="E6:E8"/>
    <mergeCell ref="A55:C55"/>
    <mergeCell ref="A56:C56"/>
    <mergeCell ref="A57:C57"/>
    <mergeCell ref="A58:C58"/>
    <mergeCell ref="A59:C59"/>
    <mergeCell ref="A49:X49"/>
    <mergeCell ref="T24:U24"/>
    <mergeCell ref="T25:U25"/>
    <mergeCell ref="T42:U42"/>
    <mergeCell ref="T26:U26"/>
    <mergeCell ref="T27:U27"/>
    <mergeCell ref="T34:U34"/>
    <mergeCell ref="T35:U35"/>
  </mergeCells>
  <phoneticPr fontId="21" type="noConversion"/>
  <printOptions horizontalCentered="1"/>
  <pageMargins left="0.19652777777777777" right="0.27569444444444446" top="0.35416666666666669" bottom="0.15763888888888888" header="0.51180555555555551" footer="0.51180555555555551"/>
  <pageSetup paperSize="9" scale="49" firstPageNumber="0" orientation="landscape" horizontalDpi="300" verticalDpi="300" r:id="rId1"/>
  <headerFooter alignWithMargins="0"/>
  <ignoredErrors>
    <ignoredError sqref="D9:D21 D25:D28 D46 D37:D44 D45" numberStoredAsText="1"/>
  </ignoredErrors>
  <drawing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400-000000000000}">
          <x14:formula1>
            <xm:f>PID!$A$5:$A$247</xm:f>
          </x14:formula1>
          <xm:sqref>M9:M46</xm:sqref>
        </x14:dataValidation>
        <x14:dataValidation type="list" allowBlank="1" showInputMessage="1" showErrorMessage="1" xr:uid="{00000000-0002-0000-0400-000001000000}">
          <x14:formula1>
            <xm:f>esp!$A$2:$A$10</xm:f>
          </x14:formula1>
          <xm:sqref>N9:N46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16">
    <tabColor rgb="FF92D050"/>
  </sheetPr>
  <dimension ref="A1:I15"/>
  <sheetViews>
    <sheetView zoomScale="107" zoomScaleNormal="90" workbookViewId="0">
      <selection activeCell="L5" sqref="L5"/>
    </sheetView>
  </sheetViews>
  <sheetFormatPr defaultColWidth="9.109375" defaultRowHeight="14.4" x14ac:dyDescent="0.3"/>
  <cols>
    <col min="1" max="1" width="6.44140625" style="102" customWidth="1"/>
    <col min="2" max="2" width="15.6640625" style="102" customWidth="1"/>
    <col min="3" max="3" width="15.6640625" style="102" hidden="1" customWidth="1"/>
    <col min="4" max="9" width="15.6640625" style="102" customWidth="1"/>
    <col min="10" max="16384" width="9.109375" style="102"/>
  </cols>
  <sheetData>
    <row r="1" spans="1:9" ht="42.9" customHeight="1" thickBot="1" x14ac:dyDescent="0.35">
      <c r="A1" s="934" t="s">
        <v>586</v>
      </c>
      <c r="B1" s="934"/>
      <c r="C1" s="934"/>
      <c r="D1" s="934"/>
      <c r="E1" s="934"/>
      <c r="F1" s="934"/>
      <c r="G1" s="934"/>
      <c r="H1" s="934"/>
      <c r="I1" s="934"/>
    </row>
    <row r="2" spans="1:9" ht="24.9" customHeight="1" x14ac:dyDescent="0.3">
      <c r="A2" s="947" t="s">
        <v>450</v>
      </c>
      <c r="B2" s="948"/>
      <c r="C2" s="948"/>
      <c r="D2" s="948"/>
      <c r="E2" s="948"/>
      <c r="F2" s="948"/>
      <c r="G2" s="948"/>
      <c r="H2" s="948"/>
      <c r="I2" s="949"/>
    </row>
    <row r="3" spans="1:9" ht="15" customHeight="1" x14ac:dyDescent="0.3">
      <c r="A3" s="937"/>
      <c r="B3" s="938"/>
      <c r="C3" s="941" t="s">
        <v>453</v>
      </c>
      <c r="D3" s="941"/>
      <c r="E3" s="942" t="s">
        <v>584</v>
      </c>
      <c r="F3" s="946"/>
      <c r="G3" s="942" t="s">
        <v>585</v>
      </c>
      <c r="H3" s="946"/>
      <c r="I3" s="933" t="s">
        <v>542</v>
      </c>
    </row>
    <row r="4" spans="1:9" ht="24" customHeight="1" x14ac:dyDescent="0.3">
      <c r="A4" s="937"/>
      <c r="B4" s="938"/>
      <c r="C4" s="941" t="s">
        <v>448</v>
      </c>
      <c r="D4" s="941" t="s">
        <v>583</v>
      </c>
      <c r="E4" s="103" t="s">
        <v>446</v>
      </c>
      <c r="F4" s="104" t="s">
        <v>447</v>
      </c>
      <c r="G4" s="103" t="s">
        <v>446</v>
      </c>
      <c r="H4" s="104" t="s">
        <v>447</v>
      </c>
      <c r="I4" s="933"/>
    </row>
    <row r="5" spans="1:9" x14ac:dyDescent="0.3">
      <c r="A5" s="937"/>
      <c r="B5" s="938"/>
      <c r="C5" s="941"/>
      <c r="D5" s="941"/>
      <c r="E5" s="103" t="s">
        <v>452</v>
      </c>
      <c r="F5" s="103" t="s">
        <v>452</v>
      </c>
      <c r="G5" s="103" t="s">
        <v>452</v>
      </c>
      <c r="H5" s="103" t="s">
        <v>452</v>
      </c>
      <c r="I5" s="147" t="s">
        <v>455</v>
      </c>
    </row>
    <row r="6" spans="1:9" ht="35.1" customHeight="1" x14ac:dyDescent="0.3">
      <c r="A6" s="939" t="s">
        <v>454</v>
      </c>
      <c r="B6" s="105" t="s">
        <v>443</v>
      </c>
      <c r="C6" s="106">
        <f>'LINHAS anterior'!L37</f>
        <v>46.8</v>
      </c>
      <c r="D6" s="106">
        <f>'LINHAS anterior'!P37*0.62</f>
        <v>39.461759999999998</v>
      </c>
      <c r="E6" s="108">
        <v>3913</v>
      </c>
      <c r="F6" s="108">
        <v>112</v>
      </c>
      <c r="G6" s="201">
        <f>E6*D6</f>
        <v>154413.86687999999</v>
      </c>
      <c r="H6" s="201">
        <f>F6*D6</f>
        <v>4419.7171199999993</v>
      </c>
      <c r="I6" s="148">
        <f>100%-(H6/G6)</f>
        <v>0.97137745974955281</v>
      </c>
    </row>
    <row r="7" spans="1:9" ht="35.1" customHeight="1" x14ac:dyDescent="0.3">
      <c r="A7" s="939"/>
      <c r="B7" s="105" t="s">
        <v>442</v>
      </c>
      <c r="C7" s="106">
        <f>'LINHAS anterior'!L31</f>
        <v>2.2000000000000002</v>
      </c>
      <c r="D7" s="106">
        <f>'LINHAS anterior'!P38</f>
        <v>4.7385000000000002</v>
      </c>
      <c r="E7" s="108">
        <v>3890</v>
      </c>
      <c r="F7" s="108">
        <v>117</v>
      </c>
      <c r="G7" s="201">
        <f>E7*D7</f>
        <v>18432.764999999999</v>
      </c>
      <c r="H7" s="201">
        <f>F7*D7</f>
        <v>554.40449999999998</v>
      </c>
      <c r="I7" s="148">
        <f>100%-(H7/G7)</f>
        <v>0.96992287917737785</v>
      </c>
    </row>
    <row r="8" spans="1:9" ht="35.1" customHeight="1" thickBot="1" x14ac:dyDescent="0.35">
      <c r="A8" s="940"/>
      <c r="B8" s="107" t="s">
        <v>441</v>
      </c>
      <c r="C8" s="109">
        <f>SUM('LINHAS anterior'!L35)</f>
        <v>21.5</v>
      </c>
      <c r="D8" s="106">
        <f>'LINHAS anterior'!P39</f>
        <v>10.089300000000001</v>
      </c>
      <c r="E8" s="110">
        <v>3870</v>
      </c>
      <c r="F8" s="110">
        <v>120</v>
      </c>
      <c r="G8" s="201">
        <f>E8*D8</f>
        <v>39045.591000000008</v>
      </c>
      <c r="H8" s="201">
        <f>F8*D8</f>
        <v>1210.7160000000001</v>
      </c>
      <c r="I8" s="148">
        <f>100%-(H8/G8)</f>
        <v>0.96899224806201556</v>
      </c>
    </row>
    <row r="9" spans="1:9" ht="24.9" customHeight="1" x14ac:dyDescent="0.3">
      <c r="A9" s="930" t="s">
        <v>451</v>
      </c>
      <c r="B9" s="931"/>
      <c r="C9" s="931"/>
      <c r="D9" s="931"/>
      <c r="E9" s="931"/>
      <c r="F9" s="931"/>
      <c r="G9" s="931"/>
      <c r="H9" s="931"/>
      <c r="I9" s="932"/>
    </row>
    <row r="10" spans="1:9" ht="15" customHeight="1" x14ac:dyDescent="0.3">
      <c r="A10" s="937"/>
      <c r="B10" s="938"/>
      <c r="C10" s="942" t="s">
        <v>453</v>
      </c>
      <c r="D10" s="943"/>
      <c r="E10" s="942" t="s">
        <v>584</v>
      </c>
      <c r="F10" s="946"/>
      <c r="G10" s="942" t="s">
        <v>585</v>
      </c>
      <c r="H10" s="946"/>
      <c r="I10" s="933" t="s">
        <v>542</v>
      </c>
    </row>
    <row r="11" spans="1:9" ht="27.75" customHeight="1" x14ac:dyDescent="0.3">
      <c r="A11" s="937"/>
      <c r="B11" s="938"/>
      <c r="C11" s="944" t="s">
        <v>448</v>
      </c>
      <c r="D11" s="944" t="s">
        <v>449</v>
      </c>
      <c r="E11" s="103" t="s">
        <v>446</v>
      </c>
      <c r="F11" s="104" t="s">
        <v>447</v>
      </c>
      <c r="G11" s="103" t="s">
        <v>446</v>
      </c>
      <c r="H11" s="104" t="s">
        <v>447</v>
      </c>
      <c r="I11" s="933"/>
    </row>
    <row r="12" spans="1:9" x14ac:dyDescent="0.3">
      <c r="A12" s="937"/>
      <c r="B12" s="938"/>
      <c r="C12" s="945"/>
      <c r="D12" s="945"/>
      <c r="E12" s="103" t="s">
        <v>452</v>
      </c>
      <c r="F12" s="103" t="s">
        <v>452</v>
      </c>
      <c r="G12" s="103" t="s">
        <v>452</v>
      </c>
      <c r="H12" s="103" t="s">
        <v>452</v>
      </c>
      <c r="I12" s="147" t="s">
        <v>455</v>
      </c>
    </row>
    <row r="13" spans="1:9" ht="35.1" customHeight="1" x14ac:dyDescent="0.3">
      <c r="A13" s="935" t="s">
        <v>454</v>
      </c>
      <c r="B13" s="105" t="s">
        <v>443</v>
      </c>
      <c r="C13" s="106">
        <f>SUM('LINHAS anterior'!L41,'LINHAS anterior'!L42)</f>
        <v>47.5</v>
      </c>
      <c r="D13" s="106">
        <f>SUM('LINHAS anterior'!P41,'LINHAS anterior'!P42)*0.5</f>
        <v>36.1</v>
      </c>
      <c r="E13" s="108">
        <v>12668</v>
      </c>
      <c r="F13" s="106">
        <v>196</v>
      </c>
      <c r="G13" s="201">
        <f>E13*D13</f>
        <v>457314.80000000005</v>
      </c>
      <c r="H13" s="201">
        <f>F13*D13</f>
        <v>7075.6</v>
      </c>
      <c r="I13" s="148">
        <f>100%-(F13/E13)</f>
        <v>0.98452794442690239</v>
      </c>
    </row>
    <row r="14" spans="1:9" ht="35.1" customHeight="1" thickBot="1" x14ac:dyDescent="0.35">
      <c r="A14" s="936"/>
      <c r="B14" s="107" t="s">
        <v>441</v>
      </c>
      <c r="C14" s="109">
        <f>SUM('LINHAS anterior'!L11,'LINHAS anterior'!L12,'LINHAS anterior'!L13,'LINHAS anterior'!L19,'LINHAS anterior'!L20)</f>
        <v>260.29999999999995</v>
      </c>
      <c r="D14" s="109">
        <f>SUM('LINHAS anterior'!P11,'LINHAS anterior'!P12,'LINHAS anterior'!P13,'LINHAS anterior'!P19,'LINHAS anterior'!P20)*0.62</f>
        <v>338.91059999999999</v>
      </c>
      <c r="E14" s="110">
        <v>12578</v>
      </c>
      <c r="F14" s="109">
        <v>213</v>
      </c>
      <c r="G14" s="110">
        <f>E14*D14</f>
        <v>4262817.5268000001</v>
      </c>
      <c r="H14" s="202">
        <f>F14*D14</f>
        <v>72187.957800000004</v>
      </c>
      <c r="I14" s="149">
        <f>100%-(F14/E14)</f>
        <v>0.98306567021784064</v>
      </c>
    </row>
    <row r="15" spans="1:9" x14ac:dyDescent="0.3">
      <c r="H15" s="203"/>
    </row>
  </sheetData>
  <mergeCells count="19">
    <mergeCell ref="E10:F10"/>
    <mergeCell ref="G10:H10"/>
    <mergeCell ref="A2:I2"/>
    <mergeCell ref="A9:I9"/>
    <mergeCell ref="I10:I11"/>
    <mergeCell ref="I3:I4"/>
    <mergeCell ref="A1:I1"/>
    <mergeCell ref="A13:A14"/>
    <mergeCell ref="A3:B5"/>
    <mergeCell ref="A6:A8"/>
    <mergeCell ref="C4:C5"/>
    <mergeCell ref="D4:D5"/>
    <mergeCell ref="C3:D3"/>
    <mergeCell ref="A10:B12"/>
    <mergeCell ref="C10:D10"/>
    <mergeCell ref="C11:C12"/>
    <mergeCell ref="D11:D12"/>
    <mergeCell ref="E3:F3"/>
    <mergeCell ref="G3:H3"/>
  </mergeCells>
  <phoneticPr fontId="21" type="noConversion"/>
  <pageMargins left="0.511811024" right="0.511811024" top="0.78740157499999996" bottom="0.78740157499999996" header="0.31496062000000002" footer="0.31496062000000002"/>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2">
    <pageSetUpPr fitToPage="1"/>
  </sheetPr>
  <dimension ref="A1:N24"/>
  <sheetViews>
    <sheetView showGridLines="0" zoomScaleNormal="100" zoomScaleSheetLayoutView="80" workbookViewId="0">
      <selection activeCell="L41" sqref="L41"/>
    </sheetView>
  </sheetViews>
  <sheetFormatPr defaultColWidth="8.6640625" defaultRowHeight="13.2" x14ac:dyDescent="0.25"/>
  <cols>
    <col min="1" max="1" width="6" customWidth="1"/>
    <col min="2" max="2" width="20.109375" customWidth="1"/>
    <col min="3" max="3" width="13.88671875" bestFit="1" customWidth="1"/>
    <col min="4" max="4" width="7.44140625" bestFit="1" customWidth="1"/>
    <col min="5" max="5" width="7.44140625" customWidth="1"/>
    <col min="6" max="6" width="8.88671875" customWidth="1"/>
    <col min="7" max="7" width="11.109375" customWidth="1"/>
    <col min="8" max="8" width="8" customWidth="1"/>
    <col min="9" max="9" width="11" customWidth="1"/>
    <col min="10" max="10" width="14.109375" customWidth="1"/>
    <col min="11" max="12" width="16.44140625" customWidth="1"/>
    <col min="13" max="13" width="22.44140625" customWidth="1"/>
    <col min="14" max="14" width="34.44140625" customWidth="1"/>
  </cols>
  <sheetData>
    <row r="1" spans="1:14" ht="29.1" customHeight="1" x14ac:dyDescent="0.25">
      <c r="A1" s="952" t="s">
        <v>36</v>
      </c>
      <c r="B1" s="953"/>
      <c r="C1" s="953"/>
      <c r="D1" s="953"/>
      <c r="E1" s="953"/>
      <c r="F1" s="953"/>
      <c r="G1" s="953"/>
      <c r="H1" s="953"/>
      <c r="I1" s="953"/>
      <c r="J1" s="953"/>
      <c r="K1" s="953"/>
      <c r="L1" s="953"/>
      <c r="M1" s="953"/>
      <c r="N1" s="953"/>
    </row>
    <row r="2" spans="1:14" ht="3.75" customHeight="1" x14ac:dyDescent="0.25">
      <c r="A2" s="950"/>
      <c r="B2" s="951"/>
      <c r="C2" s="951"/>
      <c r="D2" s="951"/>
      <c r="E2" s="951"/>
      <c r="F2" s="951"/>
      <c r="G2" s="951"/>
      <c r="H2" s="951"/>
      <c r="I2" s="951"/>
      <c r="J2" s="951"/>
      <c r="K2" s="951"/>
      <c r="L2" s="951"/>
      <c r="M2" s="951"/>
      <c r="N2" s="951"/>
    </row>
    <row r="3" spans="1:14" ht="33.6" customHeight="1" x14ac:dyDescent="0.25">
      <c r="A3" s="30" t="s">
        <v>0</v>
      </c>
      <c r="B3" s="30" t="s">
        <v>35</v>
      </c>
      <c r="C3" s="30" t="s">
        <v>34</v>
      </c>
      <c r="D3" s="30" t="s">
        <v>33</v>
      </c>
      <c r="E3" s="78" t="s">
        <v>32</v>
      </c>
      <c r="F3" s="30" t="s">
        <v>31</v>
      </c>
      <c r="G3" s="30" t="s">
        <v>30</v>
      </c>
      <c r="H3" s="79" t="s">
        <v>29</v>
      </c>
      <c r="I3" s="79" t="s">
        <v>28</v>
      </c>
      <c r="J3" s="80" t="s">
        <v>27</v>
      </c>
      <c r="K3" s="80" t="s">
        <v>26</v>
      </c>
      <c r="L3" s="79" t="s">
        <v>25</v>
      </c>
      <c r="M3" s="79" t="s">
        <v>24</v>
      </c>
      <c r="N3" s="30" t="s">
        <v>10</v>
      </c>
    </row>
    <row r="4" spans="1:14" ht="25.35" customHeight="1" x14ac:dyDescent="0.25">
      <c r="A4" s="30">
        <v>1</v>
      </c>
      <c r="B4" s="34"/>
      <c r="C4" s="33"/>
      <c r="D4" s="29"/>
      <c r="E4" s="32"/>
      <c r="F4" s="32"/>
      <c r="G4" s="31">
        <f t="shared" ref="G4:G15" si="0">(D4*1)+(E4*2.5)+(F4*3)</f>
        <v>0</v>
      </c>
      <c r="H4" s="30"/>
      <c r="I4" s="29">
        <f t="shared" ref="I4:I15" si="1">G4*(H4/1000)</f>
        <v>0</v>
      </c>
      <c r="J4" s="28"/>
      <c r="K4" s="28"/>
      <c r="L4" s="28">
        <f t="shared" ref="L4:L15" si="2">I4*J4</f>
        <v>0</v>
      </c>
      <c r="M4" s="28">
        <f t="shared" ref="M4:M15" si="3">I4*K4</f>
        <v>0</v>
      </c>
      <c r="N4" s="27"/>
    </row>
    <row r="5" spans="1:14" ht="25.35" customHeight="1" x14ac:dyDescent="0.25">
      <c r="A5" s="30">
        <v>2</v>
      </c>
      <c r="B5" s="34"/>
      <c r="C5" s="33"/>
      <c r="D5" s="29"/>
      <c r="E5" s="32"/>
      <c r="F5" s="32"/>
      <c r="G5" s="31">
        <f t="shared" si="0"/>
        <v>0</v>
      </c>
      <c r="H5" s="30"/>
      <c r="I5" s="29">
        <f t="shared" si="1"/>
        <v>0</v>
      </c>
      <c r="J5" s="28"/>
      <c r="K5" s="28"/>
      <c r="L5" s="28">
        <f t="shared" si="2"/>
        <v>0</v>
      </c>
      <c r="M5" s="28">
        <f t="shared" si="3"/>
        <v>0</v>
      </c>
      <c r="N5" s="27"/>
    </row>
    <row r="6" spans="1:14" s="4" customFormat="1" ht="25.35" customHeight="1" x14ac:dyDescent="0.25">
      <c r="A6" s="30">
        <v>3</v>
      </c>
      <c r="B6" s="34"/>
      <c r="C6" s="33"/>
      <c r="D6" s="29"/>
      <c r="E6" s="32"/>
      <c r="F6" s="32"/>
      <c r="G6" s="31">
        <f t="shared" si="0"/>
        <v>0</v>
      </c>
      <c r="H6" s="30"/>
      <c r="I6" s="29">
        <f t="shared" si="1"/>
        <v>0</v>
      </c>
      <c r="J6" s="28"/>
      <c r="K6" s="28"/>
      <c r="L6" s="28">
        <f t="shared" si="2"/>
        <v>0</v>
      </c>
      <c r="M6" s="28">
        <f t="shared" si="3"/>
        <v>0</v>
      </c>
      <c r="N6" s="27"/>
    </row>
    <row r="7" spans="1:14" s="4" customFormat="1" ht="25.35" customHeight="1" x14ac:dyDescent="0.25">
      <c r="A7" s="30">
        <v>4</v>
      </c>
      <c r="B7" s="34"/>
      <c r="C7" s="33"/>
      <c r="D7" s="29"/>
      <c r="E7" s="32"/>
      <c r="F7" s="32"/>
      <c r="G7" s="31">
        <f t="shared" si="0"/>
        <v>0</v>
      </c>
      <c r="H7" s="30"/>
      <c r="I7" s="29">
        <f t="shared" si="1"/>
        <v>0</v>
      </c>
      <c r="J7" s="28"/>
      <c r="K7" s="28"/>
      <c r="L7" s="28">
        <f t="shared" si="2"/>
        <v>0</v>
      </c>
      <c r="M7" s="28">
        <f t="shared" si="3"/>
        <v>0</v>
      </c>
      <c r="N7" s="27"/>
    </row>
    <row r="8" spans="1:14" s="4" customFormat="1" ht="25.35" customHeight="1" x14ac:dyDescent="0.25">
      <c r="A8" s="30">
        <v>5</v>
      </c>
      <c r="B8" s="34"/>
      <c r="C8" s="33"/>
      <c r="D8" s="29"/>
      <c r="E8" s="32"/>
      <c r="F8" s="32"/>
      <c r="G8" s="31">
        <f t="shared" si="0"/>
        <v>0</v>
      </c>
      <c r="H8" s="30"/>
      <c r="I8" s="29">
        <f t="shared" si="1"/>
        <v>0</v>
      </c>
      <c r="J8" s="28"/>
      <c r="K8" s="28"/>
      <c r="L8" s="28">
        <f t="shared" si="2"/>
        <v>0</v>
      </c>
      <c r="M8" s="28">
        <f t="shared" si="3"/>
        <v>0</v>
      </c>
      <c r="N8" s="27"/>
    </row>
    <row r="9" spans="1:14" s="4" customFormat="1" ht="25.35" customHeight="1" x14ac:dyDescent="0.25">
      <c r="A9" s="30">
        <v>6</v>
      </c>
      <c r="B9" s="34"/>
      <c r="C9" s="33"/>
      <c r="D9" s="29"/>
      <c r="E9" s="32"/>
      <c r="F9" s="32"/>
      <c r="G9" s="31">
        <f t="shared" si="0"/>
        <v>0</v>
      </c>
      <c r="H9" s="30"/>
      <c r="I9" s="29">
        <f t="shared" si="1"/>
        <v>0</v>
      </c>
      <c r="J9" s="28"/>
      <c r="K9" s="28"/>
      <c r="L9" s="28">
        <f t="shared" si="2"/>
        <v>0</v>
      </c>
      <c r="M9" s="28">
        <f t="shared" si="3"/>
        <v>0</v>
      </c>
      <c r="N9" s="27"/>
    </row>
    <row r="10" spans="1:14" s="4" customFormat="1" ht="25.35" customHeight="1" x14ac:dyDescent="0.25">
      <c r="A10" s="30">
        <v>7</v>
      </c>
      <c r="B10" s="34"/>
      <c r="C10" s="33"/>
      <c r="D10" s="29"/>
      <c r="E10" s="32"/>
      <c r="F10" s="32"/>
      <c r="G10" s="31">
        <f t="shared" si="0"/>
        <v>0</v>
      </c>
      <c r="H10" s="30"/>
      <c r="I10" s="29">
        <f t="shared" si="1"/>
        <v>0</v>
      </c>
      <c r="J10" s="28"/>
      <c r="K10" s="28"/>
      <c r="L10" s="28">
        <f t="shared" si="2"/>
        <v>0</v>
      </c>
      <c r="M10" s="28">
        <f t="shared" si="3"/>
        <v>0</v>
      </c>
      <c r="N10" s="27"/>
    </row>
    <row r="11" spans="1:14" s="4" customFormat="1" ht="25.35" customHeight="1" x14ac:dyDescent="0.25">
      <c r="A11" s="30">
        <v>8</v>
      </c>
      <c r="B11" s="34"/>
      <c r="C11" s="33"/>
      <c r="D11" s="29"/>
      <c r="E11" s="32"/>
      <c r="F11" s="32"/>
      <c r="G11" s="31">
        <f t="shared" si="0"/>
        <v>0</v>
      </c>
      <c r="H11" s="30"/>
      <c r="I11" s="29">
        <f t="shared" si="1"/>
        <v>0</v>
      </c>
      <c r="J11" s="28"/>
      <c r="K11" s="28"/>
      <c r="L11" s="28">
        <f t="shared" si="2"/>
        <v>0</v>
      </c>
      <c r="M11" s="28">
        <f t="shared" si="3"/>
        <v>0</v>
      </c>
      <c r="N11" s="27"/>
    </row>
    <row r="12" spans="1:14" s="4" customFormat="1" ht="25.35" customHeight="1" x14ac:dyDescent="0.25">
      <c r="A12" s="30">
        <v>9</v>
      </c>
      <c r="B12" s="34"/>
      <c r="C12" s="33"/>
      <c r="D12" s="29"/>
      <c r="E12" s="32"/>
      <c r="F12" s="32"/>
      <c r="G12" s="31">
        <f t="shared" si="0"/>
        <v>0</v>
      </c>
      <c r="H12" s="30"/>
      <c r="I12" s="29">
        <f t="shared" si="1"/>
        <v>0</v>
      </c>
      <c r="J12" s="28"/>
      <c r="K12" s="28"/>
      <c r="L12" s="28">
        <f t="shared" si="2"/>
        <v>0</v>
      </c>
      <c r="M12" s="28">
        <f t="shared" si="3"/>
        <v>0</v>
      </c>
      <c r="N12" s="27"/>
    </row>
    <row r="13" spans="1:14" s="4" customFormat="1" ht="25.35" customHeight="1" x14ac:dyDescent="0.25">
      <c r="A13" s="30">
        <v>10</v>
      </c>
      <c r="B13" s="34"/>
      <c r="C13" s="33"/>
      <c r="D13" s="29"/>
      <c r="E13" s="32"/>
      <c r="F13" s="32"/>
      <c r="G13" s="31">
        <f t="shared" si="0"/>
        <v>0</v>
      </c>
      <c r="H13" s="30"/>
      <c r="I13" s="29">
        <f t="shared" si="1"/>
        <v>0</v>
      </c>
      <c r="J13" s="28"/>
      <c r="K13" s="28"/>
      <c r="L13" s="28">
        <f t="shared" si="2"/>
        <v>0</v>
      </c>
      <c r="M13" s="28">
        <f t="shared" si="3"/>
        <v>0</v>
      </c>
      <c r="N13" s="27"/>
    </row>
    <row r="14" spans="1:14" s="4" customFormat="1" ht="25.35" customHeight="1" x14ac:dyDescent="0.25">
      <c r="A14" s="30">
        <v>11</v>
      </c>
      <c r="B14" s="34"/>
      <c r="C14" s="33"/>
      <c r="D14" s="29"/>
      <c r="E14" s="32"/>
      <c r="F14" s="32"/>
      <c r="G14" s="31">
        <f t="shared" si="0"/>
        <v>0</v>
      </c>
      <c r="H14" s="30"/>
      <c r="I14" s="29">
        <f t="shared" si="1"/>
        <v>0</v>
      </c>
      <c r="J14" s="28"/>
      <c r="K14" s="28"/>
      <c r="L14" s="28">
        <f t="shared" si="2"/>
        <v>0</v>
      </c>
      <c r="M14" s="28">
        <f t="shared" si="3"/>
        <v>0</v>
      </c>
      <c r="N14" s="27"/>
    </row>
    <row r="15" spans="1:14" s="4" customFormat="1" ht="25.35" customHeight="1" x14ac:dyDescent="0.25">
      <c r="A15" s="30">
        <v>12</v>
      </c>
      <c r="B15" s="34"/>
      <c r="C15" s="33"/>
      <c r="D15" s="29"/>
      <c r="E15" s="32"/>
      <c r="F15" s="32"/>
      <c r="G15" s="31">
        <f t="shared" si="0"/>
        <v>0</v>
      </c>
      <c r="H15" s="30"/>
      <c r="I15" s="29">
        <f t="shared" si="1"/>
        <v>0</v>
      </c>
      <c r="J15" s="28"/>
      <c r="K15" s="28"/>
      <c r="L15" s="28">
        <f t="shared" si="2"/>
        <v>0</v>
      </c>
      <c r="M15" s="28">
        <f t="shared" si="3"/>
        <v>0</v>
      </c>
      <c r="N15" s="27"/>
    </row>
    <row r="16" spans="1:14" x14ac:dyDescent="0.25">
      <c r="G16" s="26">
        <f>SUM(G4:G15)</f>
        <v>0</v>
      </c>
      <c r="H16" s="24"/>
      <c r="I16" s="25">
        <f>SUM(I4:I15)</f>
        <v>0</v>
      </c>
      <c r="J16" s="24"/>
      <c r="K16" s="24"/>
      <c r="L16" s="23">
        <f>SUM(L4:L15)</f>
        <v>0</v>
      </c>
      <c r="M16" s="23">
        <f>SUM(M4:M15)</f>
        <v>0</v>
      </c>
    </row>
    <row r="18" spans="2:14" x14ac:dyDescent="0.25">
      <c r="B18" s="22"/>
      <c r="M18" s="21"/>
      <c r="N18" s="21"/>
    </row>
    <row r="19" spans="2:14" x14ac:dyDescent="0.25">
      <c r="B19" s="22"/>
      <c r="M19" s="21"/>
      <c r="N19" s="21"/>
    </row>
    <row r="20" spans="2:14" x14ac:dyDescent="0.25">
      <c r="B20" s="22"/>
      <c r="M20" s="21"/>
      <c r="N20" s="21"/>
    </row>
    <row r="21" spans="2:14" x14ac:dyDescent="0.25">
      <c r="B21" s="22"/>
      <c r="M21" s="21"/>
    </row>
    <row r="22" spans="2:14" x14ac:dyDescent="0.25">
      <c r="B22" s="22"/>
      <c r="M22" s="21"/>
    </row>
    <row r="23" spans="2:14" x14ac:dyDescent="0.25">
      <c r="M23" s="21"/>
    </row>
    <row r="24" spans="2:14" x14ac:dyDescent="0.25">
      <c r="M24" s="21"/>
    </row>
  </sheetData>
  <sheetProtection selectLockedCells="1" selectUnlockedCells="1"/>
  <mergeCells count="2">
    <mergeCell ref="A2:N2"/>
    <mergeCell ref="A1:N1"/>
  </mergeCells>
  <pageMargins left="0.51180555555555551" right="0.51180555555555551" top="0.78749999999999998" bottom="0.78749999999999998" header="0.51180555555555551" footer="0.51180555555555551"/>
  <pageSetup paperSize="9" scale="70" firstPageNumber="0" orientation="landscape" verticalDpi="300"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17">
    <pageSetUpPr fitToPage="1"/>
  </sheetPr>
  <dimension ref="A1:GL101"/>
  <sheetViews>
    <sheetView showGridLines="0" topLeftCell="D83" zoomScale="55" zoomScaleNormal="55" workbookViewId="0">
      <selection activeCell="J27" sqref="J27"/>
    </sheetView>
  </sheetViews>
  <sheetFormatPr defaultColWidth="9.109375" defaultRowHeight="14.4" outlineLevelCol="1" x14ac:dyDescent="0.3"/>
  <cols>
    <col min="1" max="1" width="9.109375" style="246"/>
    <col min="2" max="2" width="60.44140625" style="246" customWidth="1"/>
    <col min="3" max="3" width="36.33203125" style="246" hidden="1" customWidth="1"/>
    <col min="4" max="4" width="12.88671875" style="321" customWidth="1"/>
    <col min="5" max="5" width="11.109375" style="246" customWidth="1"/>
    <col min="6" max="6" width="18.6640625" style="246" customWidth="1"/>
    <col min="7" max="12" width="0.88671875" style="246" hidden="1" customWidth="1" outlineLevel="1"/>
    <col min="13" max="13" width="32.33203125" style="246" customWidth="1" collapsed="1"/>
    <col min="14" max="14" width="8.88671875" style="246" bestFit="1" customWidth="1"/>
    <col min="15" max="15" width="7.44140625" style="246" bestFit="1" customWidth="1"/>
    <col min="16" max="16" width="9.5546875" style="246" bestFit="1" customWidth="1"/>
    <col min="17" max="17" width="8.109375" style="246" bestFit="1" customWidth="1"/>
    <col min="18" max="18" width="8.6640625" style="246" bestFit="1" customWidth="1"/>
    <col min="19" max="19" width="7.44140625" style="246" bestFit="1" customWidth="1"/>
    <col min="20" max="20" width="9.33203125" style="246" bestFit="1" customWidth="1"/>
    <col min="21" max="21" width="12.33203125" style="246" bestFit="1" customWidth="1"/>
    <col min="22" max="22" width="14.6640625" style="246" customWidth="1"/>
    <col min="23" max="23" width="7.44140625" style="246" bestFit="1" customWidth="1"/>
    <col min="24" max="24" width="7.88671875" style="246" bestFit="1" customWidth="1"/>
    <col min="25" max="27" width="8.109375" style="246" bestFit="1" customWidth="1"/>
    <col min="28" max="28" width="8" style="246" bestFit="1" customWidth="1"/>
    <col min="29" max="29" width="8.109375" style="246" bestFit="1" customWidth="1"/>
    <col min="30" max="30" width="8" style="246" bestFit="1" customWidth="1"/>
    <col min="31" max="32" width="8.109375" style="246" bestFit="1" customWidth="1"/>
    <col min="33" max="34" width="7.33203125" style="246" customWidth="1"/>
    <col min="35" max="35" width="9.5546875" style="246" bestFit="1" customWidth="1"/>
    <col min="36" max="36" width="8.109375" style="246" customWidth="1"/>
    <col min="37" max="37" width="7.33203125" style="246" customWidth="1"/>
    <col min="38" max="38" width="10" style="246" bestFit="1" customWidth="1"/>
    <col min="39" max="39" width="28.33203125" style="246" bestFit="1" customWidth="1"/>
    <col min="40" max="40" width="11" style="246" bestFit="1" customWidth="1"/>
    <col min="41" max="41" width="7.33203125" style="246" customWidth="1"/>
    <col min="42" max="42" width="7.5546875" style="246" customWidth="1"/>
    <col min="43" max="43" width="8.109375" style="246" customWidth="1" outlineLevel="1"/>
    <col min="44" max="44" width="8.33203125" style="246" customWidth="1" outlineLevel="1"/>
    <col min="45" max="45" width="8.44140625" style="246" customWidth="1" outlineLevel="1"/>
    <col min="46" max="46" width="7.44140625" style="246" customWidth="1" outlineLevel="1"/>
    <col min="47" max="47" width="8.6640625" style="246" customWidth="1" outlineLevel="1"/>
    <col min="48" max="48" width="8" style="246" customWidth="1" outlineLevel="1"/>
    <col min="49" max="50" width="8.44140625" style="246" customWidth="1" outlineLevel="1"/>
    <col min="51" max="54" width="7.33203125" style="246" customWidth="1" outlineLevel="1"/>
    <col min="55" max="55" width="8" style="246" customWidth="1" outlineLevel="1"/>
    <col min="56" max="57" width="8.44140625" style="246" customWidth="1" outlineLevel="1"/>
    <col min="58" max="60" width="7.33203125" style="246" customWidth="1" outlineLevel="1"/>
    <col min="61" max="61" width="7.5546875" style="246" customWidth="1" outlineLevel="1"/>
    <col min="62" max="62" width="8" style="246" customWidth="1" outlineLevel="1"/>
    <col min="63" max="64" width="8.44140625" style="246" customWidth="1" outlineLevel="1"/>
    <col min="65" max="65" width="7.6640625" style="246" customWidth="1" outlineLevel="1"/>
    <col min="66" max="66" width="7.33203125" style="246" customWidth="1" outlineLevel="1"/>
    <col min="67" max="67" width="8.33203125" style="246" customWidth="1" outlineLevel="1"/>
    <col min="68" max="68" width="7.5546875" style="246" customWidth="1" outlineLevel="1"/>
    <col min="69" max="69" width="8" style="246" customWidth="1" outlineLevel="1"/>
    <col min="70" max="71" width="8.44140625" style="246" customWidth="1" outlineLevel="1"/>
    <col min="72" max="72" width="7.6640625" style="246" customWidth="1" outlineLevel="1"/>
    <col min="73" max="77" width="7.33203125" style="246" customWidth="1"/>
    <col min="78" max="78" width="8.109375" style="246" customWidth="1"/>
    <col min="79" max="83" width="7.33203125" style="246" hidden="1" customWidth="1"/>
    <col min="84" max="84" width="7.5546875" style="246" hidden="1" customWidth="1"/>
    <col min="85" max="85" width="8.109375" style="246" hidden="1" customWidth="1" outlineLevel="1"/>
    <col min="86" max="86" width="8.33203125" style="246" hidden="1" customWidth="1" outlineLevel="1"/>
    <col min="87" max="87" width="8.44140625" style="246" hidden="1" customWidth="1" outlineLevel="1"/>
    <col min="88" max="88" width="7.44140625" style="246" hidden="1" customWidth="1" outlineLevel="1"/>
    <col min="89" max="89" width="8.6640625" style="246" hidden="1" customWidth="1" outlineLevel="1"/>
    <col min="90" max="90" width="8" style="246" hidden="1" customWidth="1" outlineLevel="1"/>
    <col min="91" max="92" width="8.44140625" style="246" hidden="1" customWidth="1" outlineLevel="1"/>
    <col min="93" max="96" width="7.33203125" style="246" hidden="1" customWidth="1" outlineLevel="1"/>
    <col min="97" max="97" width="8" style="246" hidden="1" customWidth="1" outlineLevel="1"/>
    <col min="98" max="99" width="8.44140625" style="246" hidden="1" customWidth="1" outlineLevel="1"/>
    <col min="100" max="102" width="7.33203125" style="246" hidden="1" customWidth="1" outlineLevel="1"/>
    <col min="103" max="103" width="7.5546875" style="246" hidden="1" customWidth="1" outlineLevel="1"/>
    <col min="104" max="104" width="8" style="246" hidden="1" customWidth="1" outlineLevel="1"/>
    <col min="105" max="106" width="8.44140625" style="246" hidden="1" customWidth="1" outlineLevel="1"/>
    <col min="107" max="107" width="7.6640625" style="246" hidden="1" customWidth="1" outlineLevel="1"/>
    <col min="108" max="108" width="7.33203125" style="246" hidden="1" customWidth="1" outlineLevel="1"/>
    <col min="109" max="109" width="8.33203125" style="246" hidden="1" customWidth="1" outlineLevel="1"/>
    <col min="110" max="110" width="7.5546875" style="246" hidden="1" customWidth="1" outlineLevel="1"/>
    <col min="111" max="111" width="8" style="246" hidden="1" customWidth="1" outlineLevel="1"/>
    <col min="112" max="113" width="8.44140625" style="246" hidden="1" customWidth="1" outlineLevel="1"/>
    <col min="114" max="114" width="7.6640625" style="246" hidden="1" customWidth="1" outlineLevel="1"/>
    <col min="115" max="115" width="7.33203125" style="246" hidden="1" customWidth="1" collapsed="1"/>
    <col min="116" max="118" width="7.33203125" style="246" hidden="1" customWidth="1"/>
    <col min="119" max="119" width="7.5546875" style="246" hidden="1" customWidth="1"/>
    <col min="120" max="120" width="8.109375" style="246" hidden="1" customWidth="1" outlineLevel="1"/>
    <col min="121" max="121" width="8.33203125" style="246" hidden="1" customWidth="1" outlineLevel="1"/>
    <col min="122" max="122" width="8.44140625" style="246" hidden="1" customWidth="1" outlineLevel="1"/>
    <col min="123" max="123" width="7.44140625" style="246" hidden="1" customWidth="1" outlineLevel="1"/>
    <col min="124" max="124" width="8.6640625" style="246" hidden="1" customWidth="1" outlineLevel="1"/>
    <col min="125" max="125" width="8" style="246" hidden="1" customWidth="1" outlineLevel="1"/>
    <col min="126" max="127" width="8.44140625" style="246" hidden="1" customWidth="1" outlineLevel="1"/>
    <col min="128" max="131" width="7.33203125" style="246" hidden="1" customWidth="1" outlineLevel="1"/>
    <col min="132" max="132" width="8" style="246" hidden="1" customWidth="1" outlineLevel="1"/>
    <col min="133" max="134" width="8.44140625" style="246" hidden="1" customWidth="1" outlineLevel="1"/>
    <col min="135" max="137" width="7.33203125" style="246" hidden="1" customWidth="1" outlineLevel="1"/>
    <col min="138" max="138" width="7.5546875" style="246" hidden="1" customWidth="1" outlineLevel="1"/>
    <col min="139" max="139" width="8" style="246" hidden="1" customWidth="1" outlineLevel="1"/>
    <col min="140" max="141" width="8.44140625" style="246" hidden="1" customWidth="1" outlineLevel="1"/>
    <col min="142" max="142" width="7.6640625" style="246" hidden="1" customWidth="1" outlineLevel="1"/>
    <col min="143" max="143" width="7.33203125" style="246" hidden="1" customWidth="1" outlineLevel="1"/>
    <col min="144" max="144" width="8.33203125" style="246" hidden="1" customWidth="1" outlineLevel="1"/>
    <col min="145" max="145" width="7.5546875" style="246" hidden="1" customWidth="1" outlineLevel="1"/>
    <col min="146" max="146" width="8" style="246" hidden="1" customWidth="1" outlineLevel="1"/>
    <col min="147" max="148" width="8.44140625" style="246" hidden="1" customWidth="1" outlineLevel="1"/>
    <col min="149" max="149" width="7.6640625" style="246" hidden="1" customWidth="1" outlineLevel="1"/>
    <col min="150" max="150" width="8.44140625" style="246" hidden="1" customWidth="1" outlineLevel="1"/>
    <col min="151" max="151" width="7.44140625" style="246" hidden="1" customWidth="1" outlineLevel="1"/>
    <col min="152" max="152" width="8.6640625" style="246" hidden="1" customWidth="1" outlineLevel="1"/>
    <col min="153" max="153" width="8" style="246" hidden="1" customWidth="1" outlineLevel="1"/>
    <col min="154" max="155" width="8.44140625" style="246" hidden="1" customWidth="1" outlineLevel="1"/>
    <col min="156" max="159" width="7.33203125" style="246" hidden="1" customWidth="1" outlineLevel="1"/>
    <col min="160" max="160" width="8" style="246" hidden="1" customWidth="1" outlineLevel="1"/>
    <col min="161" max="162" width="8.44140625" style="246" hidden="1" customWidth="1" outlineLevel="1"/>
    <col min="163" max="165" width="7.33203125" style="246" hidden="1" customWidth="1" outlineLevel="1"/>
    <col min="166" max="166" width="7.5546875" style="246" hidden="1" customWidth="1" outlineLevel="1"/>
    <col min="167" max="167" width="8" style="246" hidden="1" customWidth="1" outlineLevel="1"/>
    <col min="168" max="169" width="8.44140625" style="246" hidden="1" customWidth="1" outlineLevel="1"/>
    <col min="170" max="170" width="7.6640625" style="246" hidden="1" customWidth="1" outlineLevel="1"/>
    <col min="171" max="171" width="7.33203125" style="246" hidden="1" customWidth="1" outlineLevel="1"/>
    <col min="172" max="172" width="8.33203125" style="246" hidden="1" customWidth="1" outlineLevel="1"/>
    <col min="173" max="173" width="7.5546875" style="246" hidden="1" customWidth="1" outlineLevel="1"/>
    <col min="174" max="174" width="8" style="246" hidden="1" customWidth="1" outlineLevel="1"/>
    <col min="175" max="176" width="8.44140625" style="246" hidden="1" customWidth="1" outlineLevel="1"/>
    <col min="177" max="177" width="7.6640625" style="246" hidden="1" customWidth="1" outlineLevel="1"/>
    <col min="178" max="178" width="13.33203125" style="246" customWidth="1" collapsed="1"/>
    <col min="179" max="179" width="9.109375" style="246"/>
    <col min="180" max="180" width="13.44140625" style="246" customWidth="1" outlineLevel="1"/>
    <col min="181" max="181" width="46.5546875" style="246" customWidth="1" outlineLevel="1"/>
    <col min="182" max="182" width="31.88671875" style="246" customWidth="1" outlineLevel="1"/>
    <col min="183" max="183" width="26.88671875" style="246" customWidth="1" outlineLevel="1"/>
    <col min="184" max="184" width="13.5546875" style="246" customWidth="1" outlineLevel="1"/>
    <col min="185" max="185" width="14.109375" style="246" customWidth="1" outlineLevel="1"/>
    <col min="186" max="186" width="15.109375" style="246" customWidth="1" outlineLevel="1"/>
    <col min="187" max="187" width="10.88671875" style="246" customWidth="1" outlineLevel="1"/>
    <col min="188" max="188" width="22.109375" style="246" customWidth="1" outlineLevel="1"/>
    <col min="189" max="16384" width="9.109375" style="246"/>
  </cols>
  <sheetData>
    <row r="1" spans="1:188" hidden="1" x14ac:dyDescent="0.3">
      <c r="D1" s="246"/>
    </row>
    <row r="2" spans="1:188" ht="40.5" hidden="1" customHeight="1" x14ac:dyDescent="0.3">
      <c r="D2" s="246"/>
      <c r="F2" s="247"/>
      <c r="G2" s="247"/>
      <c r="H2" s="247"/>
      <c r="I2" s="247"/>
      <c r="J2" s="248"/>
      <c r="K2" s="247"/>
      <c r="L2" s="247"/>
      <c r="M2" s="247"/>
      <c r="FW2" s="249"/>
      <c r="FX2" s="249"/>
    </row>
    <row r="3" spans="1:188" ht="32.25" hidden="1" customHeight="1" x14ac:dyDescent="0.3">
      <c r="D3" s="246"/>
      <c r="J3" s="250"/>
      <c r="K3" s="247"/>
      <c r="M3" s="251"/>
      <c r="N3" s="251"/>
      <c r="O3" s="251"/>
      <c r="P3" s="251"/>
      <c r="Q3" s="251"/>
      <c r="R3" s="251"/>
      <c r="S3" s="251"/>
      <c r="T3" s="251"/>
      <c r="U3" s="251"/>
      <c r="V3" s="251"/>
      <c r="W3" s="251"/>
      <c r="X3" s="251"/>
      <c r="Y3" s="251"/>
      <c r="Z3" s="251"/>
      <c r="AA3" s="251"/>
      <c r="FW3" s="249"/>
      <c r="FX3" s="252"/>
      <c r="FY3" s="954" t="s">
        <v>600</v>
      </c>
      <c r="FZ3" s="955"/>
      <c r="GA3" s="955"/>
      <c r="GB3" s="955"/>
      <c r="GC3" s="955"/>
      <c r="GD3" s="955"/>
      <c r="GE3" s="955"/>
      <c r="GF3" s="253"/>
    </row>
    <row r="4" spans="1:188" ht="32.25" hidden="1" customHeight="1" x14ac:dyDescent="0.3">
      <c r="D4" s="246"/>
      <c r="K4" s="247"/>
      <c r="M4" s="251"/>
      <c r="N4" s="254">
        <f t="shared" ref="N4:EY4" si="0">N5</f>
        <v>44914</v>
      </c>
      <c r="O4" s="254">
        <f t="shared" si="0"/>
        <v>44915</v>
      </c>
      <c r="P4" s="254">
        <f t="shared" si="0"/>
        <v>44916</v>
      </c>
      <c r="Q4" s="254">
        <f t="shared" si="0"/>
        <v>44917</v>
      </c>
      <c r="R4" s="254">
        <f t="shared" si="0"/>
        <v>44918</v>
      </c>
      <c r="S4" s="254">
        <f t="shared" si="0"/>
        <v>44919</v>
      </c>
      <c r="T4" s="254">
        <f t="shared" si="0"/>
        <v>44920</v>
      </c>
      <c r="U4" s="254">
        <f t="shared" si="0"/>
        <v>44921</v>
      </c>
      <c r="V4" s="254">
        <f t="shared" si="0"/>
        <v>44922</v>
      </c>
      <c r="W4" s="254">
        <f t="shared" si="0"/>
        <v>44923</v>
      </c>
      <c r="X4" s="254">
        <f t="shared" si="0"/>
        <v>44924</v>
      </c>
      <c r="Y4" s="254">
        <f t="shared" si="0"/>
        <v>44925</v>
      </c>
      <c r="Z4" s="254">
        <f t="shared" si="0"/>
        <v>44926</v>
      </c>
      <c r="AA4" s="254">
        <f t="shared" si="0"/>
        <v>44927</v>
      </c>
      <c r="AB4" s="254">
        <f t="shared" si="0"/>
        <v>44928</v>
      </c>
      <c r="AC4" s="254">
        <f t="shared" si="0"/>
        <v>44929</v>
      </c>
      <c r="AD4" s="254">
        <f t="shared" si="0"/>
        <v>44930</v>
      </c>
      <c r="AE4" s="254">
        <f>AE5</f>
        <v>44931</v>
      </c>
      <c r="AF4" s="254">
        <f t="shared" si="0"/>
        <v>44932</v>
      </c>
      <c r="AG4" s="254">
        <f t="shared" si="0"/>
        <v>44933</v>
      </c>
      <c r="AH4" s="254">
        <f t="shared" si="0"/>
        <v>44934</v>
      </c>
      <c r="AI4" s="254">
        <f t="shared" si="0"/>
        <v>44935</v>
      </c>
      <c r="AJ4" s="254">
        <f t="shared" si="0"/>
        <v>44936</v>
      </c>
      <c r="AK4" s="254">
        <f t="shared" si="0"/>
        <v>44937</v>
      </c>
      <c r="AL4" s="254">
        <f t="shared" si="0"/>
        <v>44938</v>
      </c>
      <c r="AM4" s="254">
        <f t="shared" si="0"/>
        <v>44939</v>
      </c>
      <c r="AN4" s="254">
        <f t="shared" si="0"/>
        <v>44940</v>
      </c>
      <c r="AO4" s="254">
        <f t="shared" si="0"/>
        <v>44941</v>
      </c>
      <c r="AP4" s="254">
        <f t="shared" si="0"/>
        <v>44942</v>
      </c>
      <c r="AQ4" s="254">
        <f t="shared" si="0"/>
        <v>44943</v>
      </c>
      <c r="AR4" s="254">
        <f>AR5</f>
        <v>44944</v>
      </c>
      <c r="AS4" s="254">
        <f t="shared" si="0"/>
        <v>44945</v>
      </c>
      <c r="AT4" s="254">
        <f t="shared" si="0"/>
        <v>44946</v>
      </c>
      <c r="AU4" s="254">
        <f t="shared" si="0"/>
        <v>44947</v>
      </c>
      <c r="AV4" s="254">
        <f t="shared" si="0"/>
        <v>44948</v>
      </c>
      <c r="AW4" s="254">
        <f t="shared" si="0"/>
        <v>44949</v>
      </c>
      <c r="AX4" s="254">
        <f t="shared" si="0"/>
        <v>44950</v>
      </c>
      <c r="AY4" s="254">
        <f t="shared" ref="AY4:BT4" si="1">AY5</f>
        <v>44951</v>
      </c>
      <c r="AZ4" s="254">
        <f t="shared" si="1"/>
        <v>44952</v>
      </c>
      <c r="BA4" s="254">
        <f t="shared" si="1"/>
        <v>44953</v>
      </c>
      <c r="BB4" s="254">
        <f t="shared" si="1"/>
        <v>44954</v>
      </c>
      <c r="BC4" s="254">
        <f t="shared" si="1"/>
        <v>44955</v>
      </c>
      <c r="BD4" s="254">
        <f t="shared" si="1"/>
        <v>44956</v>
      </c>
      <c r="BE4" s="254">
        <f t="shared" si="1"/>
        <v>44957</v>
      </c>
      <c r="BF4" s="254">
        <f t="shared" si="1"/>
        <v>44958</v>
      </c>
      <c r="BG4" s="254">
        <f t="shared" si="1"/>
        <v>44959</v>
      </c>
      <c r="BH4" s="254">
        <f t="shared" si="1"/>
        <v>44960</v>
      </c>
      <c r="BI4" s="254">
        <f t="shared" si="1"/>
        <v>44961</v>
      </c>
      <c r="BJ4" s="254">
        <f t="shared" si="1"/>
        <v>44962</v>
      </c>
      <c r="BK4" s="254">
        <f t="shared" si="1"/>
        <v>44963</v>
      </c>
      <c r="BL4" s="254">
        <f t="shared" si="1"/>
        <v>44964</v>
      </c>
      <c r="BM4" s="254">
        <f t="shared" si="1"/>
        <v>44965</v>
      </c>
      <c r="BN4" s="254">
        <f t="shared" si="1"/>
        <v>44966</v>
      </c>
      <c r="BO4" s="254">
        <f t="shared" si="1"/>
        <v>44967</v>
      </c>
      <c r="BP4" s="254">
        <f t="shared" si="1"/>
        <v>44968</v>
      </c>
      <c r="BQ4" s="254">
        <f t="shared" si="1"/>
        <v>44969</v>
      </c>
      <c r="BR4" s="254">
        <f t="shared" si="1"/>
        <v>44970</v>
      </c>
      <c r="BS4" s="254">
        <f t="shared" si="1"/>
        <v>44971</v>
      </c>
      <c r="BT4" s="254">
        <f t="shared" si="1"/>
        <v>44972</v>
      </c>
      <c r="BU4" s="254">
        <f t="shared" si="0"/>
        <v>44973</v>
      </c>
      <c r="BV4" s="254">
        <f t="shared" si="0"/>
        <v>44974</v>
      </c>
      <c r="BW4" s="254">
        <f t="shared" si="0"/>
        <v>44975</v>
      </c>
      <c r="BX4" s="254">
        <f t="shared" si="0"/>
        <v>44976</v>
      </c>
      <c r="BY4" s="254">
        <f t="shared" si="0"/>
        <v>44977</v>
      </c>
      <c r="BZ4" s="254">
        <f t="shared" si="0"/>
        <v>44978</v>
      </c>
      <c r="CA4" s="254">
        <f t="shared" si="0"/>
        <v>44979</v>
      </c>
      <c r="CB4" s="254">
        <f t="shared" si="0"/>
        <v>44980</v>
      </c>
      <c r="CC4" s="254">
        <f t="shared" si="0"/>
        <v>44981</v>
      </c>
      <c r="CD4" s="254">
        <f t="shared" si="0"/>
        <v>44982</v>
      </c>
      <c r="CE4" s="254">
        <f t="shared" si="0"/>
        <v>44983</v>
      </c>
      <c r="CF4" s="254">
        <f t="shared" si="0"/>
        <v>44984</v>
      </c>
      <c r="CG4" s="254">
        <f t="shared" si="0"/>
        <v>44985</v>
      </c>
      <c r="CH4" s="254">
        <f>CH5</f>
        <v>44986</v>
      </c>
      <c r="CI4" s="254">
        <f t="shared" si="0"/>
        <v>44987</v>
      </c>
      <c r="CJ4" s="254">
        <f t="shared" si="0"/>
        <v>44988</v>
      </c>
      <c r="CK4" s="254">
        <f t="shared" si="0"/>
        <v>44989</v>
      </c>
      <c r="CL4" s="254">
        <f t="shared" si="0"/>
        <v>44990</v>
      </c>
      <c r="CM4" s="254">
        <f t="shared" si="0"/>
        <v>44991</v>
      </c>
      <c r="CN4" s="254">
        <f t="shared" si="0"/>
        <v>44992</v>
      </c>
      <c r="CO4" s="254">
        <f t="shared" ref="CO4:DJ4" si="2">CO5</f>
        <v>44993</v>
      </c>
      <c r="CP4" s="254">
        <f t="shared" si="2"/>
        <v>44994</v>
      </c>
      <c r="CQ4" s="254">
        <f t="shared" si="2"/>
        <v>44995</v>
      </c>
      <c r="CR4" s="254">
        <f t="shared" si="2"/>
        <v>44996</v>
      </c>
      <c r="CS4" s="254">
        <f t="shared" si="2"/>
        <v>44997</v>
      </c>
      <c r="CT4" s="254">
        <f t="shared" si="2"/>
        <v>44998</v>
      </c>
      <c r="CU4" s="254">
        <f t="shared" si="2"/>
        <v>44999</v>
      </c>
      <c r="CV4" s="254">
        <f t="shared" si="2"/>
        <v>45000</v>
      </c>
      <c r="CW4" s="254">
        <f t="shared" si="2"/>
        <v>45001</v>
      </c>
      <c r="CX4" s="254">
        <f t="shared" si="2"/>
        <v>45002</v>
      </c>
      <c r="CY4" s="254">
        <f t="shared" si="2"/>
        <v>45003</v>
      </c>
      <c r="CZ4" s="254">
        <f t="shared" si="2"/>
        <v>45004</v>
      </c>
      <c r="DA4" s="254">
        <f t="shared" si="2"/>
        <v>45005</v>
      </c>
      <c r="DB4" s="254">
        <f t="shared" si="2"/>
        <v>45006</v>
      </c>
      <c r="DC4" s="254">
        <f t="shared" si="2"/>
        <v>45007</v>
      </c>
      <c r="DD4" s="254">
        <f t="shared" si="2"/>
        <v>45008</v>
      </c>
      <c r="DE4" s="254">
        <f t="shared" si="2"/>
        <v>45009</v>
      </c>
      <c r="DF4" s="254">
        <f t="shared" si="2"/>
        <v>45010</v>
      </c>
      <c r="DG4" s="254">
        <f t="shared" si="2"/>
        <v>45011</v>
      </c>
      <c r="DH4" s="254">
        <f t="shared" si="2"/>
        <v>45012</v>
      </c>
      <c r="DI4" s="254">
        <f t="shared" si="2"/>
        <v>45013</v>
      </c>
      <c r="DJ4" s="254">
        <f t="shared" si="2"/>
        <v>45014</v>
      </c>
      <c r="DK4" s="254">
        <f t="shared" si="0"/>
        <v>45015</v>
      </c>
      <c r="DL4" s="254">
        <f t="shared" si="0"/>
        <v>45016</v>
      </c>
      <c r="DM4" s="254">
        <f t="shared" si="0"/>
        <v>45017</v>
      </c>
      <c r="DN4" s="254">
        <f t="shared" si="0"/>
        <v>45018</v>
      </c>
      <c r="DO4" s="254">
        <f t="shared" si="0"/>
        <v>45019</v>
      </c>
      <c r="DP4" s="254">
        <f t="shared" si="0"/>
        <v>45020</v>
      </c>
      <c r="DQ4" s="254">
        <f>DQ5</f>
        <v>45021</v>
      </c>
      <c r="DR4" s="254">
        <f t="shared" si="0"/>
        <v>45022</v>
      </c>
      <c r="DS4" s="254">
        <f t="shared" si="0"/>
        <v>45023</v>
      </c>
      <c r="DT4" s="254">
        <f t="shared" si="0"/>
        <v>45024</v>
      </c>
      <c r="DU4" s="254">
        <f t="shared" si="0"/>
        <v>45025</v>
      </c>
      <c r="DV4" s="254">
        <f t="shared" si="0"/>
        <v>45026</v>
      </c>
      <c r="DW4" s="254">
        <f t="shared" si="0"/>
        <v>45027</v>
      </c>
      <c r="DX4" s="254">
        <f t="shared" ref="DX4:ES4" si="3">DX5</f>
        <v>45028</v>
      </c>
      <c r="DY4" s="254">
        <f t="shared" si="3"/>
        <v>45029</v>
      </c>
      <c r="DZ4" s="254">
        <f t="shared" si="3"/>
        <v>45030</v>
      </c>
      <c r="EA4" s="254">
        <f t="shared" si="3"/>
        <v>45031</v>
      </c>
      <c r="EB4" s="254">
        <f t="shared" si="3"/>
        <v>45032</v>
      </c>
      <c r="EC4" s="254">
        <f t="shared" si="3"/>
        <v>45033</v>
      </c>
      <c r="ED4" s="254">
        <f t="shared" si="3"/>
        <v>45034</v>
      </c>
      <c r="EE4" s="254">
        <f t="shared" si="3"/>
        <v>45035</v>
      </c>
      <c r="EF4" s="254">
        <f t="shared" si="3"/>
        <v>45036</v>
      </c>
      <c r="EG4" s="254">
        <f t="shared" si="3"/>
        <v>45037</v>
      </c>
      <c r="EH4" s="254">
        <f t="shared" si="3"/>
        <v>45038</v>
      </c>
      <c r="EI4" s="254">
        <f t="shared" si="3"/>
        <v>45039</v>
      </c>
      <c r="EJ4" s="254">
        <f t="shared" si="3"/>
        <v>45040</v>
      </c>
      <c r="EK4" s="254">
        <f t="shared" si="3"/>
        <v>45041</v>
      </c>
      <c r="EL4" s="254">
        <f t="shared" si="3"/>
        <v>45042</v>
      </c>
      <c r="EM4" s="254">
        <f t="shared" si="3"/>
        <v>45043</v>
      </c>
      <c r="EN4" s="254">
        <f t="shared" si="3"/>
        <v>45044</v>
      </c>
      <c r="EO4" s="254">
        <f t="shared" si="3"/>
        <v>45045</v>
      </c>
      <c r="EP4" s="254">
        <f t="shared" si="3"/>
        <v>45046</v>
      </c>
      <c r="EQ4" s="254">
        <f t="shared" si="3"/>
        <v>45047</v>
      </c>
      <c r="ER4" s="254">
        <f t="shared" si="3"/>
        <v>45048</v>
      </c>
      <c r="ES4" s="254">
        <f t="shared" si="3"/>
        <v>45049</v>
      </c>
      <c r="ET4" s="254">
        <f t="shared" si="0"/>
        <v>45050</v>
      </c>
      <c r="EU4" s="254">
        <f t="shared" si="0"/>
        <v>45051</v>
      </c>
      <c r="EV4" s="254">
        <f t="shared" si="0"/>
        <v>45052</v>
      </c>
      <c r="EW4" s="254">
        <f t="shared" si="0"/>
        <v>45053</v>
      </c>
      <c r="EX4" s="254">
        <f t="shared" si="0"/>
        <v>45054</v>
      </c>
      <c r="EY4" s="254">
        <f t="shared" si="0"/>
        <v>45055</v>
      </c>
      <c r="EZ4" s="254">
        <f t="shared" ref="EZ4:FU4" si="4">EZ5</f>
        <v>45056</v>
      </c>
      <c r="FA4" s="254">
        <f t="shared" si="4"/>
        <v>45057</v>
      </c>
      <c r="FB4" s="254">
        <f t="shared" si="4"/>
        <v>45058</v>
      </c>
      <c r="FC4" s="254">
        <f t="shared" si="4"/>
        <v>45059</v>
      </c>
      <c r="FD4" s="254">
        <f t="shared" si="4"/>
        <v>45060</v>
      </c>
      <c r="FE4" s="254">
        <f t="shared" si="4"/>
        <v>45061</v>
      </c>
      <c r="FF4" s="254">
        <f t="shared" si="4"/>
        <v>45062</v>
      </c>
      <c r="FG4" s="254">
        <f t="shared" si="4"/>
        <v>45063</v>
      </c>
      <c r="FH4" s="254">
        <f t="shared" si="4"/>
        <v>45064</v>
      </c>
      <c r="FI4" s="254">
        <f t="shared" si="4"/>
        <v>45065</v>
      </c>
      <c r="FJ4" s="254">
        <f t="shared" si="4"/>
        <v>45066</v>
      </c>
      <c r="FK4" s="254">
        <f t="shared" si="4"/>
        <v>45067</v>
      </c>
      <c r="FL4" s="254">
        <f t="shared" si="4"/>
        <v>45068</v>
      </c>
      <c r="FM4" s="254">
        <f t="shared" si="4"/>
        <v>45069</v>
      </c>
      <c r="FN4" s="254">
        <f t="shared" si="4"/>
        <v>45070</v>
      </c>
      <c r="FO4" s="254">
        <f t="shared" si="4"/>
        <v>45071</v>
      </c>
      <c r="FP4" s="254">
        <f t="shared" si="4"/>
        <v>45072</v>
      </c>
      <c r="FQ4" s="254">
        <f t="shared" si="4"/>
        <v>45073</v>
      </c>
      <c r="FR4" s="254">
        <f t="shared" si="4"/>
        <v>45074</v>
      </c>
      <c r="FS4" s="254">
        <f t="shared" si="4"/>
        <v>45075</v>
      </c>
      <c r="FT4" s="254">
        <f t="shared" si="4"/>
        <v>45076</v>
      </c>
      <c r="FU4" s="254">
        <f t="shared" si="4"/>
        <v>45077</v>
      </c>
      <c r="FX4" s="255"/>
      <c r="FY4" s="956"/>
      <c r="FZ4" s="956"/>
      <c r="GA4" s="956"/>
      <c r="GB4" s="956"/>
      <c r="GC4" s="956"/>
      <c r="GD4" s="956"/>
      <c r="GE4" s="956"/>
      <c r="GF4" s="255"/>
    </row>
    <row r="5" spans="1:188" s="259" customFormat="1" ht="45" hidden="1" customHeight="1" x14ac:dyDescent="0.25">
      <c r="A5" s="256" t="s">
        <v>601</v>
      </c>
      <c r="B5" s="256" t="s">
        <v>49</v>
      </c>
      <c r="C5" s="256" t="s">
        <v>602</v>
      </c>
      <c r="D5" s="256" t="s">
        <v>603</v>
      </c>
      <c r="E5" s="256" t="s">
        <v>604</v>
      </c>
      <c r="F5" s="256" t="s">
        <v>605</v>
      </c>
      <c r="G5" s="256" t="s">
        <v>606</v>
      </c>
      <c r="H5" s="256" t="s">
        <v>607</v>
      </c>
      <c r="I5" s="256" t="s">
        <v>608</v>
      </c>
      <c r="J5" s="256" t="s">
        <v>609</v>
      </c>
      <c r="K5" s="256" t="s">
        <v>610</v>
      </c>
      <c r="L5" s="256" t="s">
        <v>611</v>
      </c>
      <c r="M5" s="257" t="s">
        <v>612</v>
      </c>
      <c r="N5" s="258">
        <v>44914</v>
      </c>
      <c r="O5" s="258">
        <f t="shared" ref="O5:AE5" si="5">N5+1</f>
        <v>44915</v>
      </c>
      <c r="P5" s="258">
        <f t="shared" si="5"/>
        <v>44916</v>
      </c>
      <c r="Q5" s="258">
        <f t="shared" si="5"/>
        <v>44917</v>
      </c>
      <c r="R5" s="258">
        <f t="shared" si="5"/>
        <v>44918</v>
      </c>
      <c r="S5" s="258">
        <f t="shared" si="5"/>
        <v>44919</v>
      </c>
      <c r="T5" s="258">
        <f t="shared" si="5"/>
        <v>44920</v>
      </c>
      <c r="U5" s="258">
        <f t="shared" si="5"/>
        <v>44921</v>
      </c>
      <c r="V5" s="258">
        <f t="shared" si="5"/>
        <v>44922</v>
      </c>
      <c r="W5" s="258">
        <f t="shared" si="5"/>
        <v>44923</v>
      </c>
      <c r="X5" s="258">
        <f t="shared" si="5"/>
        <v>44924</v>
      </c>
      <c r="Y5" s="258">
        <f t="shared" si="5"/>
        <v>44925</v>
      </c>
      <c r="Z5" s="258">
        <f t="shared" si="5"/>
        <v>44926</v>
      </c>
      <c r="AA5" s="258">
        <f t="shared" si="5"/>
        <v>44927</v>
      </c>
      <c r="AB5" s="258">
        <f t="shared" si="5"/>
        <v>44928</v>
      </c>
      <c r="AC5" s="258">
        <f t="shared" si="5"/>
        <v>44929</v>
      </c>
      <c r="AD5" s="258">
        <f t="shared" si="5"/>
        <v>44930</v>
      </c>
      <c r="AE5" s="258">
        <f t="shared" si="5"/>
        <v>44931</v>
      </c>
      <c r="AF5" s="258">
        <f t="shared" ref="AF5:AL5" si="6">AE5+1</f>
        <v>44932</v>
      </c>
      <c r="AG5" s="258">
        <f t="shared" si="6"/>
        <v>44933</v>
      </c>
      <c r="AH5" s="258">
        <f t="shared" si="6"/>
        <v>44934</v>
      </c>
      <c r="AI5" s="258">
        <f t="shared" si="6"/>
        <v>44935</v>
      </c>
      <c r="AJ5" s="258">
        <f t="shared" si="6"/>
        <v>44936</v>
      </c>
      <c r="AK5" s="258">
        <f t="shared" si="6"/>
        <v>44937</v>
      </c>
      <c r="AL5" s="258">
        <f t="shared" si="6"/>
        <v>44938</v>
      </c>
      <c r="AM5" s="258">
        <f>AL5+1</f>
        <v>44939</v>
      </c>
      <c r="AN5" s="258">
        <f>AM5+1</f>
        <v>44940</v>
      </c>
      <c r="AO5" s="258">
        <f>AN5+1</f>
        <v>44941</v>
      </c>
      <c r="AP5" s="258">
        <f>AO5+1</f>
        <v>44942</v>
      </c>
      <c r="AQ5" s="258">
        <f>AP5+1</f>
        <v>44943</v>
      </c>
      <c r="AR5" s="258">
        <f t="shared" ref="AR5:BT5" si="7">AQ5+1</f>
        <v>44944</v>
      </c>
      <c r="AS5" s="258">
        <f t="shared" si="7"/>
        <v>44945</v>
      </c>
      <c r="AT5" s="258">
        <f t="shared" si="7"/>
        <v>44946</v>
      </c>
      <c r="AU5" s="258">
        <f t="shared" si="7"/>
        <v>44947</v>
      </c>
      <c r="AV5" s="258">
        <f t="shared" si="7"/>
        <v>44948</v>
      </c>
      <c r="AW5" s="258">
        <f t="shared" si="7"/>
        <v>44949</v>
      </c>
      <c r="AX5" s="258">
        <f t="shared" si="7"/>
        <v>44950</v>
      </c>
      <c r="AY5" s="258">
        <f t="shared" si="7"/>
        <v>44951</v>
      </c>
      <c r="AZ5" s="258">
        <f t="shared" si="7"/>
        <v>44952</v>
      </c>
      <c r="BA5" s="258">
        <f t="shared" si="7"/>
        <v>44953</v>
      </c>
      <c r="BB5" s="258">
        <f t="shared" si="7"/>
        <v>44954</v>
      </c>
      <c r="BC5" s="258">
        <f t="shared" si="7"/>
        <v>44955</v>
      </c>
      <c r="BD5" s="258">
        <f t="shared" si="7"/>
        <v>44956</v>
      </c>
      <c r="BE5" s="258">
        <f t="shared" si="7"/>
        <v>44957</v>
      </c>
      <c r="BF5" s="258">
        <f t="shared" si="7"/>
        <v>44958</v>
      </c>
      <c r="BG5" s="258">
        <f t="shared" si="7"/>
        <v>44959</v>
      </c>
      <c r="BH5" s="258">
        <f t="shared" si="7"/>
        <v>44960</v>
      </c>
      <c r="BI5" s="258">
        <f t="shared" si="7"/>
        <v>44961</v>
      </c>
      <c r="BJ5" s="258">
        <f t="shared" si="7"/>
        <v>44962</v>
      </c>
      <c r="BK5" s="258">
        <f t="shared" si="7"/>
        <v>44963</v>
      </c>
      <c r="BL5" s="258">
        <f t="shared" si="7"/>
        <v>44964</v>
      </c>
      <c r="BM5" s="258">
        <f t="shared" si="7"/>
        <v>44965</v>
      </c>
      <c r="BN5" s="258">
        <f t="shared" si="7"/>
        <v>44966</v>
      </c>
      <c r="BO5" s="258">
        <f t="shared" si="7"/>
        <v>44967</v>
      </c>
      <c r="BP5" s="258">
        <f t="shared" si="7"/>
        <v>44968</v>
      </c>
      <c r="BQ5" s="258">
        <f t="shared" si="7"/>
        <v>44969</v>
      </c>
      <c r="BR5" s="258">
        <f t="shared" si="7"/>
        <v>44970</v>
      </c>
      <c r="BS5" s="258">
        <f t="shared" si="7"/>
        <v>44971</v>
      </c>
      <c r="BT5" s="258">
        <f t="shared" si="7"/>
        <v>44972</v>
      </c>
      <c r="BU5" s="258">
        <f t="shared" ref="BU5:CG5" si="8">BT5+1</f>
        <v>44973</v>
      </c>
      <c r="BV5" s="258">
        <f t="shared" si="8"/>
        <v>44974</v>
      </c>
      <c r="BW5" s="258">
        <f t="shared" si="8"/>
        <v>44975</v>
      </c>
      <c r="BX5" s="258">
        <f t="shared" si="8"/>
        <v>44976</v>
      </c>
      <c r="BY5" s="258">
        <f t="shared" si="8"/>
        <v>44977</v>
      </c>
      <c r="BZ5" s="258">
        <f t="shared" si="8"/>
        <v>44978</v>
      </c>
      <c r="CA5" s="258">
        <f t="shared" si="8"/>
        <v>44979</v>
      </c>
      <c r="CB5" s="258">
        <f t="shared" si="8"/>
        <v>44980</v>
      </c>
      <c r="CC5" s="258">
        <f t="shared" si="8"/>
        <v>44981</v>
      </c>
      <c r="CD5" s="258">
        <f t="shared" si="8"/>
        <v>44982</v>
      </c>
      <c r="CE5" s="258">
        <f t="shared" si="8"/>
        <v>44983</v>
      </c>
      <c r="CF5" s="258">
        <f t="shared" si="8"/>
        <v>44984</v>
      </c>
      <c r="CG5" s="258">
        <f t="shared" si="8"/>
        <v>44985</v>
      </c>
      <c r="CH5" s="258">
        <f t="shared" ref="CH5:DJ5" si="9">CG5+1</f>
        <v>44986</v>
      </c>
      <c r="CI5" s="258">
        <f t="shared" si="9"/>
        <v>44987</v>
      </c>
      <c r="CJ5" s="258">
        <f t="shared" si="9"/>
        <v>44988</v>
      </c>
      <c r="CK5" s="258">
        <f t="shared" si="9"/>
        <v>44989</v>
      </c>
      <c r="CL5" s="258">
        <f t="shared" si="9"/>
        <v>44990</v>
      </c>
      <c r="CM5" s="258">
        <f t="shared" si="9"/>
        <v>44991</v>
      </c>
      <c r="CN5" s="258">
        <f t="shared" si="9"/>
        <v>44992</v>
      </c>
      <c r="CO5" s="258">
        <f t="shared" si="9"/>
        <v>44993</v>
      </c>
      <c r="CP5" s="258">
        <f t="shared" si="9"/>
        <v>44994</v>
      </c>
      <c r="CQ5" s="258">
        <f t="shared" si="9"/>
        <v>44995</v>
      </c>
      <c r="CR5" s="258">
        <f t="shared" si="9"/>
        <v>44996</v>
      </c>
      <c r="CS5" s="258">
        <f t="shared" si="9"/>
        <v>44997</v>
      </c>
      <c r="CT5" s="258">
        <f t="shared" si="9"/>
        <v>44998</v>
      </c>
      <c r="CU5" s="258">
        <f t="shared" si="9"/>
        <v>44999</v>
      </c>
      <c r="CV5" s="258">
        <f t="shared" si="9"/>
        <v>45000</v>
      </c>
      <c r="CW5" s="258">
        <f t="shared" si="9"/>
        <v>45001</v>
      </c>
      <c r="CX5" s="258">
        <f t="shared" si="9"/>
        <v>45002</v>
      </c>
      <c r="CY5" s="258">
        <f t="shared" si="9"/>
        <v>45003</v>
      </c>
      <c r="CZ5" s="258">
        <f t="shared" si="9"/>
        <v>45004</v>
      </c>
      <c r="DA5" s="258">
        <f t="shared" si="9"/>
        <v>45005</v>
      </c>
      <c r="DB5" s="258">
        <f t="shared" si="9"/>
        <v>45006</v>
      </c>
      <c r="DC5" s="258">
        <f t="shared" si="9"/>
        <v>45007</v>
      </c>
      <c r="DD5" s="258">
        <f t="shared" si="9"/>
        <v>45008</v>
      </c>
      <c r="DE5" s="258">
        <f t="shared" si="9"/>
        <v>45009</v>
      </c>
      <c r="DF5" s="258">
        <f t="shared" si="9"/>
        <v>45010</v>
      </c>
      <c r="DG5" s="258">
        <f t="shared" si="9"/>
        <v>45011</v>
      </c>
      <c r="DH5" s="258">
        <f t="shared" si="9"/>
        <v>45012</v>
      </c>
      <c r="DI5" s="258">
        <f t="shared" si="9"/>
        <v>45013</v>
      </c>
      <c r="DJ5" s="258">
        <f t="shared" si="9"/>
        <v>45014</v>
      </c>
      <c r="DK5" s="258">
        <f t="shared" ref="DK5:DP5" si="10">DJ5+1</f>
        <v>45015</v>
      </c>
      <c r="DL5" s="258">
        <f t="shared" si="10"/>
        <v>45016</v>
      </c>
      <c r="DM5" s="258">
        <f t="shared" si="10"/>
        <v>45017</v>
      </c>
      <c r="DN5" s="258">
        <f t="shared" si="10"/>
        <v>45018</v>
      </c>
      <c r="DO5" s="258">
        <f t="shared" si="10"/>
        <v>45019</v>
      </c>
      <c r="DP5" s="258">
        <f t="shared" si="10"/>
        <v>45020</v>
      </c>
      <c r="DQ5" s="258">
        <f t="shared" ref="DQ5:FU5" si="11">DP5+1</f>
        <v>45021</v>
      </c>
      <c r="DR5" s="258">
        <f>DQ5+1</f>
        <v>45022</v>
      </c>
      <c r="DS5" s="258">
        <f t="shared" ref="DS5:ES5" si="12">DR5+1</f>
        <v>45023</v>
      </c>
      <c r="DT5" s="258">
        <f t="shared" si="12"/>
        <v>45024</v>
      </c>
      <c r="DU5" s="258">
        <f t="shared" si="12"/>
        <v>45025</v>
      </c>
      <c r="DV5" s="258">
        <f t="shared" si="12"/>
        <v>45026</v>
      </c>
      <c r="DW5" s="258">
        <f t="shared" si="12"/>
        <v>45027</v>
      </c>
      <c r="DX5" s="258">
        <f t="shared" si="12"/>
        <v>45028</v>
      </c>
      <c r="DY5" s="258">
        <f t="shared" si="12"/>
        <v>45029</v>
      </c>
      <c r="DZ5" s="258">
        <f t="shared" si="12"/>
        <v>45030</v>
      </c>
      <c r="EA5" s="258">
        <f t="shared" si="12"/>
        <v>45031</v>
      </c>
      <c r="EB5" s="258">
        <f t="shared" si="12"/>
        <v>45032</v>
      </c>
      <c r="EC5" s="258">
        <f t="shared" si="12"/>
        <v>45033</v>
      </c>
      <c r="ED5" s="258">
        <f t="shared" si="12"/>
        <v>45034</v>
      </c>
      <c r="EE5" s="258">
        <f t="shared" si="12"/>
        <v>45035</v>
      </c>
      <c r="EF5" s="258">
        <f t="shared" si="12"/>
        <v>45036</v>
      </c>
      <c r="EG5" s="258">
        <f t="shared" si="12"/>
        <v>45037</v>
      </c>
      <c r="EH5" s="258">
        <f t="shared" si="12"/>
        <v>45038</v>
      </c>
      <c r="EI5" s="258">
        <f t="shared" si="12"/>
        <v>45039</v>
      </c>
      <c r="EJ5" s="258">
        <f t="shared" si="12"/>
        <v>45040</v>
      </c>
      <c r="EK5" s="258">
        <f t="shared" si="12"/>
        <v>45041</v>
      </c>
      <c r="EL5" s="258">
        <f t="shared" si="12"/>
        <v>45042</v>
      </c>
      <c r="EM5" s="258">
        <f t="shared" si="12"/>
        <v>45043</v>
      </c>
      <c r="EN5" s="258">
        <f t="shared" si="12"/>
        <v>45044</v>
      </c>
      <c r="EO5" s="258">
        <f t="shared" si="12"/>
        <v>45045</v>
      </c>
      <c r="EP5" s="258">
        <f t="shared" si="12"/>
        <v>45046</v>
      </c>
      <c r="EQ5" s="258">
        <f t="shared" si="12"/>
        <v>45047</v>
      </c>
      <c r="ER5" s="258">
        <f t="shared" si="12"/>
        <v>45048</v>
      </c>
      <c r="ES5" s="258">
        <f t="shared" si="12"/>
        <v>45049</v>
      </c>
      <c r="ET5" s="258">
        <f>ES5+1</f>
        <v>45050</v>
      </c>
      <c r="EU5" s="258">
        <f t="shared" si="11"/>
        <v>45051</v>
      </c>
      <c r="EV5" s="258">
        <f t="shared" si="11"/>
        <v>45052</v>
      </c>
      <c r="EW5" s="258">
        <f t="shared" si="11"/>
        <v>45053</v>
      </c>
      <c r="EX5" s="258">
        <f t="shared" si="11"/>
        <v>45054</v>
      </c>
      <c r="EY5" s="258">
        <f t="shared" si="11"/>
        <v>45055</v>
      </c>
      <c r="EZ5" s="258">
        <f t="shared" si="11"/>
        <v>45056</v>
      </c>
      <c r="FA5" s="258">
        <f t="shared" si="11"/>
        <v>45057</v>
      </c>
      <c r="FB5" s="258">
        <f t="shared" si="11"/>
        <v>45058</v>
      </c>
      <c r="FC5" s="258">
        <f t="shared" si="11"/>
        <v>45059</v>
      </c>
      <c r="FD5" s="258">
        <f t="shared" si="11"/>
        <v>45060</v>
      </c>
      <c r="FE5" s="258">
        <f t="shared" si="11"/>
        <v>45061</v>
      </c>
      <c r="FF5" s="258">
        <f t="shared" si="11"/>
        <v>45062</v>
      </c>
      <c r="FG5" s="258">
        <f t="shared" si="11"/>
        <v>45063</v>
      </c>
      <c r="FH5" s="258">
        <f t="shared" si="11"/>
        <v>45064</v>
      </c>
      <c r="FI5" s="258">
        <f t="shared" si="11"/>
        <v>45065</v>
      </c>
      <c r="FJ5" s="258">
        <f t="shared" si="11"/>
        <v>45066</v>
      </c>
      <c r="FK5" s="258">
        <f t="shared" si="11"/>
        <v>45067</v>
      </c>
      <c r="FL5" s="258">
        <f t="shared" si="11"/>
        <v>45068</v>
      </c>
      <c r="FM5" s="258">
        <f t="shared" si="11"/>
        <v>45069</v>
      </c>
      <c r="FN5" s="258">
        <f t="shared" si="11"/>
        <v>45070</v>
      </c>
      <c r="FO5" s="258">
        <f t="shared" si="11"/>
        <v>45071</v>
      </c>
      <c r="FP5" s="258">
        <f t="shared" si="11"/>
        <v>45072</v>
      </c>
      <c r="FQ5" s="258">
        <f t="shared" si="11"/>
        <v>45073</v>
      </c>
      <c r="FR5" s="258">
        <f t="shared" si="11"/>
        <v>45074</v>
      </c>
      <c r="FS5" s="258">
        <f t="shared" si="11"/>
        <v>45075</v>
      </c>
      <c r="FT5" s="258">
        <f t="shared" si="11"/>
        <v>45076</v>
      </c>
      <c r="FU5" s="258">
        <f t="shared" si="11"/>
        <v>45077</v>
      </c>
      <c r="FX5" s="260" t="s">
        <v>0</v>
      </c>
      <c r="FY5" s="260" t="s">
        <v>49</v>
      </c>
      <c r="FZ5" s="260" t="s">
        <v>613</v>
      </c>
      <c r="GA5" s="260" t="s">
        <v>614</v>
      </c>
      <c r="GB5" s="260" t="s">
        <v>615</v>
      </c>
      <c r="GC5" s="260" t="s">
        <v>616</v>
      </c>
      <c r="GD5" s="260" t="s">
        <v>617</v>
      </c>
      <c r="GE5" s="260" t="s">
        <v>618</v>
      </c>
      <c r="GF5" s="260" t="s">
        <v>619</v>
      </c>
    </row>
    <row r="6" spans="1:188" s="259" customFormat="1" ht="9.75" hidden="1" customHeight="1" x14ac:dyDescent="0.25">
      <c r="A6" s="261"/>
      <c r="B6" s="262"/>
      <c r="C6" s="262"/>
      <c r="D6" s="262"/>
      <c r="E6" s="262"/>
      <c r="F6" s="262"/>
      <c r="G6" s="262"/>
      <c r="H6" s="262"/>
      <c r="I6" s="261"/>
      <c r="J6" s="261"/>
      <c r="K6" s="261"/>
      <c r="L6" s="261"/>
      <c r="M6" s="263"/>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5"/>
      <c r="AZ6" s="265"/>
      <c r="BA6" s="265"/>
      <c r="BB6" s="265"/>
      <c r="BC6" s="264"/>
      <c r="BD6" s="264"/>
      <c r="BE6" s="264"/>
      <c r="BF6" s="265"/>
      <c r="BG6" s="265"/>
      <c r="BH6" s="265"/>
      <c r="BI6" s="265"/>
      <c r="BJ6" s="264"/>
      <c r="BK6" s="264"/>
      <c r="BL6" s="264"/>
      <c r="BM6" s="265"/>
      <c r="BN6" s="265"/>
      <c r="BO6" s="265"/>
      <c r="BP6" s="265"/>
      <c r="BQ6" s="264"/>
      <c r="BR6" s="264"/>
      <c r="BS6" s="264"/>
      <c r="BT6" s="265"/>
      <c r="BU6" s="264"/>
      <c r="BV6" s="264"/>
      <c r="BW6" s="264"/>
      <c r="BX6" s="264"/>
      <c r="BY6" s="264"/>
      <c r="BZ6" s="264"/>
      <c r="CA6" s="264"/>
      <c r="CB6" s="264"/>
      <c r="CC6" s="264"/>
      <c r="CD6" s="264"/>
      <c r="CE6" s="264"/>
      <c r="CF6" s="264"/>
      <c r="CG6" s="264"/>
      <c r="CH6" s="264"/>
      <c r="CI6" s="264"/>
      <c r="CJ6" s="264"/>
      <c r="CK6" s="264"/>
      <c r="CL6" s="264"/>
      <c r="CM6" s="264"/>
      <c r="CN6" s="264"/>
      <c r="CO6" s="265"/>
      <c r="CP6" s="265"/>
      <c r="CQ6" s="265"/>
      <c r="CR6" s="265"/>
      <c r="CS6" s="264"/>
      <c r="CT6" s="264"/>
      <c r="CU6" s="264"/>
      <c r="CV6" s="265"/>
      <c r="CW6" s="265"/>
      <c r="CX6" s="265"/>
      <c r="CY6" s="265"/>
      <c r="CZ6" s="264"/>
      <c r="DA6" s="264"/>
      <c r="DB6" s="264"/>
      <c r="DC6" s="265"/>
      <c r="DD6" s="265"/>
      <c r="DE6" s="265"/>
      <c r="DF6" s="265"/>
      <c r="DG6" s="264"/>
      <c r="DH6" s="264"/>
      <c r="DI6" s="264"/>
      <c r="DJ6" s="265"/>
      <c r="DK6" s="264"/>
      <c r="DL6" s="264"/>
      <c r="DM6" s="264"/>
      <c r="DN6" s="264"/>
      <c r="DO6" s="264"/>
      <c r="DP6" s="264"/>
      <c r="DQ6" s="264"/>
      <c r="DR6" s="264"/>
      <c r="DS6" s="264"/>
      <c r="DT6" s="264"/>
      <c r="DU6" s="264"/>
      <c r="DV6" s="264"/>
      <c r="DW6" s="264"/>
      <c r="DX6" s="265"/>
      <c r="DY6" s="265"/>
      <c r="DZ6" s="265"/>
      <c r="EA6" s="265"/>
      <c r="EB6" s="264"/>
      <c r="EC6" s="264"/>
      <c r="ED6" s="264"/>
      <c r="EE6" s="265"/>
      <c r="EF6" s="265"/>
      <c r="EG6" s="265"/>
      <c r="EH6" s="265"/>
      <c r="EI6" s="264"/>
      <c r="EJ6" s="264"/>
      <c r="EK6" s="264"/>
      <c r="EL6" s="265"/>
      <c r="EM6" s="265"/>
      <c r="EN6" s="265"/>
      <c r="EO6" s="265"/>
      <c r="EP6" s="264"/>
      <c r="EQ6" s="264"/>
      <c r="ER6" s="264"/>
      <c r="ES6" s="265"/>
      <c r="ET6" s="264"/>
      <c r="EU6" s="264"/>
      <c r="EV6" s="264"/>
      <c r="EW6" s="264"/>
      <c r="EX6" s="264"/>
      <c r="EY6" s="264"/>
      <c r="EZ6" s="265"/>
      <c r="FA6" s="265"/>
      <c r="FB6" s="265"/>
      <c r="FC6" s="265"/>
      <c r="FD6" s="264"/>
      <c r="FE6" s="264"/>
      <c r="FF6" s="264"/>
      <c r="FG6" s="265"/>
      <c r="FH6" s="265"/>
      <c r="FI6" s="265"/>
      <c r="FJ6" s="265"/>
      <c r="FK6" s="264"/>
      <c r="FL6" s="264"/>
      <c r="FM6" s="264"/>
      <c r="FN6" s="265"/>
      <c r="FO6" s="265"/>
      <c r="FP6" s="265"/>
      <c r="FQ6" s="265"/>
      <c r="FR6" s="264"/>
      <c r="FS6" s="264"/>
      <c r="FT6" s="264"/>
      <c r="FU6" s="265"/>
      <c r="FX6" s="266"/>
      <c r="FY6" s="266"/>
      <c r="FZ6" s="266"/>
      <c r="GA6" s="266"/>
      <c r="GB6" s="266"/>
      <c r="GC6" s="267"/>
      <c r="GD6" s="268"/>
      <c r="GE6" s="266"/>
      <c r="GF6" s="269"/>
    </row>
    <row r="7" spans="1:188" ht="27" hidden="1" customHeight="1" x14ac:dyDescent="0.3">
      <c r="A7" s="270">
        <v>1</v>
      </c>
      <c r="B7" s="957" t="s">
        <v>620</v>
      </c>
      <c r="C7" s="271"/>
      <c r="D7" s="957" t="s">
        <v>621</v>
      </c>
      <c r="E7" s="272" t="s">
        <v>622</v>
      </c>
      <c r="F7" s="959">
        <v>663.81100000000015</v>
      </c>
      <c r="G7" s="273"/>
      <c r="H7" s="273"/>
      <c r="I7" s="274"/>
      <c r="J7" s="275"/>
      <c r="K7" s="275"/>
      <c r="L7" s="275"/>
      <c r="M7" s="276"/>
      <c r="N7" s="277">
        <v>4</v>
      </c>
      <c r="O7" s="277">
        <v>4</v>
      </c>
      <c r="P7" s="277">
        <v>4</v>
      </c>
      <c r="Q7" s="277">
        <v>4</v>
      </c>
      <c r="R7" s="277">
        <v>4</v>
      </c>
      <c r="S7" s="277"/>
      <c r="T7" s="277"/>
      <c r="U7" s="277">
        <v>4</v>
      </c>
      <c r="V7" s="277">
        <v>4</v>
      </c>
      <c r="W7" s="277">
        <v>4</v>
      </c>
      <c r="X7" s="277">
        <v>4</v>
      </c>
      <c r="Y7" s="277">
        <v>4</v>
      </c>
      <c r="Z7" s="277"/>
      <c r="AA7" s="277"/>
      <c r="AB7" s="277">
        <v>4</v>
      </c>
      <c r="AC7" s="277">
        <v>4</v>
      </c>
      <c r="AD7" s="277">
        <v>4</v>
      </c>
      <c r="AE7" s="277">
        <v>4</v>
      </c>
      <c r="AF7" s="277">
        <v>4</v>
      </c>
      <c r="AG7" s="277"/>
      <c r="AH7" s="277"/>
      <c r="AI7" s="277">
        <v>4</v>
      </c>
      <c r="AJ7" s="277">
        <v>4</v>
      </c>
      <c r="AK7" s="277">
        <v>4</v>
      </c>
      <c r="AL7" s="277">
        <v>4</v>
      </c>
      <c r="AM7" s="277">
        <v>4</v>
      </c>
      <c r="AN7" s="277"/>
      <c r="AO7" s="277"/>
      <c r="AP7" s="277">
        <v>4</v>
      </c>
      <c r="AQ7" s="277">
        <v>4</v>
      </c>
      <c r="AR7" s="277">
        <v>4</v>
      </c>
      <c r="AS7" s="277">
        <v>4</v>
      </c>
      <c r="AT7" s="277">
        <v>4</v>
      </c>
      <c r="AU7" s="277"/>
      <c r="AV7" s="277"/>
      <c r="AW7" s="277">
        <v>4</v>
      </c>
      <c r="AX7" s="277">
        <v>4</v>
      </c>
      <c r="AY7" s="277">
        <v>4</v>
      </c>
      <c r="AZ7" s="277">
        <v>4</v>
      </c>
      <c r="BA7" s="277">
        <v>4</v>
      </c>
      <c r="BB7" s="277"/>
      <c r="BC7" s="277"/>
      <c r="BD7" s="277">
        <v>4</v>
      </c>
      <c r="BE7" s="277">
        <v>4</v>
      </c>
      <c r="BF7" s="277">
        <v>4</v>
      </c>
      <c r="BG7" s="277">
        <v>4</v>
      </c>
      <c r="BH7" s="277">
        <v>4</v>
      </c>
      <c r="BI7" s="277"/>
      <c r="BJ7" s="277"/>
      <c r="BK7" s="277">
        <v>4</v>
      </c>
      <c r="BL7" s="277">
        <v>4</v>
      </c>
      <c r="BM7" s="277">
        <v>4</v>
      </c>
      <c r="BN7" s="277">
        <v>4</v>
      </c>
      <c r="BO7" s="277">
        <v>4</v>
      </c>
      <c r="BP7" s="277"/>
      <c r="BQ7" s="277"/>
      <c r="BR7" s="277">
        <v>4</v>
      </c>
      <c r="BS7" s="277">
        <v>4</v>
      </c>
      <c r="BT7" s="277">
        <v>4</v>
      </c>
      <c r="BU7" s="277">
        <v>4</v>
      </c>
      <c r="BV7" s="277">
        <v>4</v>
      </c>
      <c r="BW7" s="277"/>
      <c r="BX7" s="277"/>
      <c r="BY7" s="277">
        <v>4</v>
      </c>
      <c r="BZ7" s="277">
        <v>4</v>
      </c>
      <c r="CA7" s="277"/>
      <c r="CB7" s="277"/>
      <c r="CC7" s="277"/>
      <c r="CD7" s="277"/>
      <c r="CE7" s="277"/>
      <c r="CF7" s="277"/>
      <c r="CG7" s="277"/>
      <c r="CH7" s="277"/>
      <c r="CI7" s="277"/>
      <c r="CJ7" s="277"/>
      <c r="CK7" s="277"/>
      <c r="CL7" s="277"/>
      <c r="CM7" s="277"/>
      <c r="CN7" s="277"/>
      <c r="CO7" s="277"/>
      <c r="CP7" s="277"/>
      <c r="CQ7" s="277"/>
      <c r="CR7" s="277"/>
      <c r="CS7" s="277"/>
      <c r="CT7" s="277"/>
      <c r="CU7" s="277"/>
      <c r="CV7" s="277"/>
      <c r="CW7" s="277"/>
      <c r="CX7" s="277"/>
      <c r="CY7" s="277"/>
      <c r="CZ7" s="277"/>
      <c r="DA7" s="277"/>
      <c r="DB7" s="277"/>
      <c r="DC7" s="277"/>
      <c r="DD7" s="277"/>
      <c r="DE7" s="277"/>
      <c r="DF7" s="277"/>
      <c r="DG7" s="277"/>
      <c r="DH7" s="277"/>
      <c r="DI7" s="277"/>
      <c r="DJ7" s="277"/>
      <c r="DK7" s="277"/>
      <c r="DL7" s="277"/>
      <c r="DM7" s="277"/>
      <c r="DN7" s="277"/>
      <c r="DO7" s="277"/>
      <c r="DP7" s="277"/>
      <c r="DQ7" s="277"/>
      <c r="DR7" s="277"/>
      <c r="DS7" s="277"/>
      <c r="DT7" s="277"/>
      <c r="DU7" s="277"/>
      <c r="DV7" s="277"/>
      <c r="DW7" s="277"/>
      <c r="DX7" s="277"/>
      <c r="DY7" s="277"/>
      <c r="DZ7" s="277"/>
      <c r="EA7" s="277"/>
      <c r="EB7" s="277"/>
      <c r="EC7" s="277"/>
      <c r="ED7" s="277"/>
      <c r="EE7" s="277"/>
      <c r="EF7" s="277"/>
      <c r="EG7" s="277"/>
      <c r="EH7" s="277"/>
      <c r="EI7" s="277"/>
      <c r="EJ7" s="277"/>
      <c r="EK7" s="277"/>
      <c r="EL7" s="277"/>
      <c r="EM7" s="277"/>
      <c r="EN7" s="277"/>
      <c r="EO7" s="277"/>
      <c r="EP7" s="277"/>
      <c r="EQ7" s="277"/>
      <c r="ER7" s="277"/>
      <c r="ES7" s="277"/>
      <c r="ET7" s="277"/>
      <c r="EU7" s="277"/>
      <c r="EV7" s="277"/>
      <c r="EW7" s="277"/>
      <c r="EX7" s="277"/>
      <c r="EY7" s="277"/>
      <c r="EZ7" s="277"/>
      <c r="FA7" s="277"/>
      <c r="FB7" s="277"/>
      <c r="FC7" s="277"/>
      <c r="FD7" s="277"/>
      <c r="FE7" s="277"/>
      <c r="FF7" s="277"/>
      <c r="FG7" s="277"/>
      <c r="FH7" s="277"/>
      <c r="FI7" s="277"/>
      <c r="FJ7" s="277"/>
      <c r="FK7" s="277"/>
      <c r="FL7" s="277"/>
      <c r="FM7" s="277"/>
      <c r="FN7" s="277"/>
      <c r="FO7" s="277"/>
      <c r="FP7" s="277"/>
      <c r="FQ7" s="277"/>
      <c r="FR7" s="277"/>
      <c r="FS7" s="277"/>
      <c r="FT7" s="277"/>
      <c r="FU7" s="277"/>
      <c r="FV7" s="961">
        <f>F7-SUM(N7:FU7,N8:FU8)*M43</f>
        <v>122.37100000000021</v>
      </c>
      <c r="FX7" s="278">
        <f>A7</f>
        <v>1</v>
      </c>
      <c r="FY7" s="962" t="str">
        <f>B7</f>
        <v>LINHAS DA ÁREA 328</v>
      </c>
      <c r="FZ7" s="962" t="s">
        <v>623</v>
      </c>
      <c r="GA7" s="278" t="s">
        <v>624</v>
      </c>
      <c r="GB7" s="278">
        <f>SUM(N7:FU7)</f>
        <v>188</v>
      </c>
      <c r="GC7" s="280">
        <f>GB7*10</f>
        <v>1880</v>
      </c>
      <c r="GD7" s="281">
        <v>54.097000000000001</v>
      </c>
      <c r="GE7" s="278">
        <v>1</v>
      </c>
      <c r="GF7" s="282">
        <f>GC7*GD7*GE7</f>
        <v>101702.36</v>
      </c>
    </row>
    <row r="8" spans="1:188" ht="27" hidden="1" customHeight="1" thickBot="1" x14ac:dyDescent="0.35">
      <c r="A8" s="270">
        <v>2</v>
      </c>
      <c r="B8" s="958"/>
      <c r="C8" s="271"/>
      <c r="D8" s="958"/>
      <c r="E8" s="272" t="s">
        <v>625</v>
      </c>
      <c r="F8" s="960"/>
      <c r="G8" s="273"/>
      <c r="H8" s="273"/>
      <c r="I8" s="274"/>
      <c r="J8" s="275"/>
      <c r="K8" s="275"/>
      <c r="L8" s="275"/>
      <c r="M8" s="276"/>
      <c r="N8" s="277">
        <v>4</v>
      </c>
      <c r="O8" s="277">
        <v>4</v>
      </c>
      <c r="P8" s="277">
        <v>4</v>
      </c>
      <c r="Q8" s="277">
        <v>4</v>
      </c>
      <c r="R8" s="277">
        <v>4</v>
      </c>
      <c r="S8" s="277"/>
      <c r="T8" s="277"/>
      <c r="U8" s="277">
        <v>4</v>
      </c>
      <c r="V8" s="277">
        <v>4</v>
      </c>
      <c r="W8" s="277">
        <v>4</v>
      </c>
      <c r="X8" s="277">
        <v>4</v>
      </c>
      <c r="Y8" s="277">
        <v>4</v>
      </c>
      <c r="Z8" s="277"/>
      <c r="AA8" s="277"/>
      <c r="AB8" s="277">
        <v>4</v>
      </c>
      <c r="AC8" s="277">
        <v>4</v>
      </c>
      <c r="AD8" s="277">
        <v>4</v>
      </c>
      <c r="AE8" s="277">
        <v>4</v>
      </c>
      <c r="AF8" s="277">
        <v>4</v>
      </c>
      <c r="AG8" s="277"/>
      <c r="AH8" s="277"/>
      <c r="AI8" s="277">
        <v>4</v>
      </c>
      <c r="AJ8" s="277">
        <v>4</v>
      </c>
      <c r="AK8" s="277">
        <v>4</v>
      </c>
      <c r="AL8" s="277">
        <v>4</v>
      </c>
      <c r="AM8" s="277">
        <v>4</v>
      </c>
      <c r="AN8" s="277"/>
      <c r="AO8" s="277"/>
      <c r="AP8" s="277">
        <v>4</v>
      </c>
      <c r="AQ8" s="277">
        <v>4</v>
      </c>
      <c r="AR8" s="277">
        <v>4</v>
      </c>
      <c r="AS8" s="277">
        <v>4</v>
      </c>
      <c r="AT8" s="277">
        <v>4</v>
      </c>
      <c r="AU8" s="277"/>
      <c r="AV8" s="277"/>
      <c r="AW8" s="277">
        <v>4</v>
      </c>
      <c r="AX8" s="277">
        <v>4</v>
      </c>
      <c r="AY8" s="277">
        <v>4</v>
      </c>
      <c r="AZ8" s="277">
        <v>4</v>
      </c>
      <c r="BA8" s="277">
        <v>4</v>
      </c>
      <c r="BB8" s="277"/>
      <c r="BC8" s="277"/>
      <c r="BD8" s="277">
        <v>4</v>
      </c>
      <c r="BE8" s="277">
        <v>4</v>
      </c>
      <c r="BF8" s="277">
        <v>4</v>
      </c>
      <c r="BG8" s="277">
        <v>4</v>
      </c>
      <c r="BH8" s="277">
        <v>4</v>
      </c>
      <c r="BI8" s="277"/>
      <c r="BJ8" s="277"/>
      <c r="BK8" s="277">
        <v>4</v>
      </c>
      <c r="BL8" s="277">
        <v>4</v>
      </c>
      <c r="BM8" s="277">
        <v>4</v>
      </c>
      <c r="BN8" s="277">
        <v>4</v>
      </c>
      <c r="BO8" s="277">
        <v>4</v>
      </c>
      <c r="BP8" s="277"/>
      <c r="BQ8" s="277"/>
      <c r="BR8" s="277">
        <v>4</v>
      </c>
      <c r="BS8" s="277">
        <v>4</v>
      </c>
      <c r="BT8" s="277">
        <v>4</v>
      </c>
      <c r="BU8" s="277">
        <v>4</v>
      </c>
      <c r="BV8" s="277">
        <v>4</v>
      </c>
      <c r="BW8" s="277"/>
      <c r="BX8" s="277"/>
      <c r="BY8" s="277">
        <v>4</v>
      </c>
      <c r="BZ8" s="277">
        <v>4</v>
      </c>
      <c r="CA8" s="277"/>
      <c r="CB8" s="277"/>
      <c r="CC8" s="277"/>
      <c r="CD8" s="277"/>
      <c r="CE8" s="277"/>
      <c r="CF8" s="277"/>
      <c r="CG8" s="277"/>
      <c r="CH8" s="277"/>
      <c r="CI8" s="277"/>
      <c r="CJ8" s="277"/>
      <c r="CK8" s="277"/>
      <c r="CL8" s="277"/>
      <c r="CM8" s="277"/>
      <c r="CN8" s="277"/>
      <c r="CO8" s="277"/>
      <c r="CP8" s="277"/>
      <c r="CQ8" s="277"/>
      <c r="CR8" s="277"/>
      <c r="CS8" s="277"/>
      <c r="CT8" s="277"/>
      <c r="CU8" s="277"/>
      <c r="CV8" s="277"/>
      <c r="CW8" s="277"/>
      <c r="CX8" s="277"/>
      <c r="CY8" s="277"/>
      <c r="CZ8" s="277"/>
      <c r="DA8" s="277"/>
      <c r="DB8" s="277"/>
      <c r="DC8" s="277"/>
      <c r="DD8" s="277"/>
      <c r="DE8" s="277"/>
      <c r="DF8" s="277"/>
      <c r="DG8" s="277"/>
      <c r="DH8" s="277"/>
      <c r="DI8" s="277"/>
      <c r="DJ8" s="277"/>
      <c r="DK8" s="277"/>
      <c r="DL8" s="277"/>
      <c r="DM8" s="277"/>
      <c r="DN8" s="277"/>
      <c r="DO8" s="277"/>
      <c r="DP8" s="277"/>
      <c r="DQ8" s="277"/>
      <c r="DR8" s="277"/>
      <c r="DS8" s="277"/>
      <c r="DT8" s="277"/>
      <c r="DU8" s="277"/>
      <c r="DV8" s="277"/>
      <c r="DW8" s="277"/>
      <c r="DX8" s="277"/>
      <c r="DY8" s="277"/>
      <c r="DZ8" s="277"/>
      <c r="EA8" s="277"/>
      <c r="EB8" s="277"/>
      <c r="EC8" s="277"/>
      <c r="ED8" s="277"/>
      <c r="EE8" s="277"/>
      <c r="EF8" s="277"/>
      <c r="EG8" s="277"/>
      <c r="EH8" s="277"/>
      <c r="EI8" s="277"/>
      <c r="EJ8" s="277"/>
      <c r="EK8" s="277"/>
      <c r="EL8" s="277"/>
      <c r="EM8" s="277"/>
      <c r="EN8" s="277"/>
      <c r="EO8" s="277"/>
      <c r="EP8" s="277"/>
      <c r="EQ8" s="277"/>
      <c r="ER8" s="277"/>
      <c r="ES8" s="277"/>
      <c r="ET8" s="277"/>
      <c r="EU8" s="277"/>
      <c r="EV8" s="277"/>
      <c r="EW8" s="277"/>
      <c r="EX8" s="277"/>
      <c r="EY8" s="277"/>
      <c r="EZ8" s="277"/>
      <c r="FA8" s="277"/>
      <c r="FB8" s="277"/>
      <c r="FC8" s="277"/>
      <c r="FD8" s="277"/>
      <c r="FE8" s="277"/>
      <c r="FF8" s="277"/>
      <c r="FG8" s="277"/>
      <c r="FH8" s="277"/>
      <c r="FI8" s="277"/>
      <c r="FJ8" s="277"/>
      <c r="FK8" s="277"/>
      <c r="FL8" s="277"/>
      <c r="FM8" s="277"/>
      <c r="FN8" s="277"/>
      <c r="FO8" s="277"/>
      <c r="FP8" s="277"/>
      <c r="FQ8" s="277"/>
      <c r="FR8" s="277"/>
      <c r="FS8" s="277"/>
      <c r="FT8" s="277"/>
      <c r="FU8" s="277"/>
      <c r="FV8" s="961"/>
      <c r="FX8" s="283">
        <f t="shared" ref="FX8:FY35" si="13">A8</f>
        <v>2</v>
      </c>
      <c r="FY8" s="963"/>
      <c r="FZ8" s="963"/>
      <c r="GA8" s="278" t="s">
        <v>626</v>
      </c>
      <c r="GB8" s="278">
        <f>SUM(N8:FU8)</f>
        <v>188</v>
      </c>
      <c r="GC8" s="280">
        <f>GB8*10</f>
        <v>1880</v>
      </c>
      <c r="GD8" s="281">
        <v>49.493000000000002</v>
      </c>
      <c r="GE8" s="278">
        <v>1</v>
      </c>
      <c r="GF8" s="282">
        <f>GC8*GD8*GE8</f>
        <v>93046.840000000011</v>
      </c>
    </row>
    <row r="9" spans="1:188" ht="27" hidden="1" customHeight="1" x14ac:dyDescent="0.3">
      <c r="A9" s="270">
        <v>18</v>
      </c>
      <c r="B9" s="285"/>
      <c r="C9" s="271"/>
      <c r="D9" s="272"/>
      <c r="E9" s="272"/>
      <c r="F9" s="273"/>
      <c r="G9" s="273"/>
      <c r="H9" s="273"/>
      <c r="I9" s="274"/>
      <c r="J9" s="275"/>
      <c r="K9" s="275"/>
      <c r="L9" s="275"/>
      <c r="M9" s="276"/>
      <c r="N9" s="277"/>
      <c r="O9" s="277"/>
      <c r="P9" s="277"/>
      <c r="Q9" s="277"/>
      <c r="R9" s="277"/>
      <c r="S9" s="286"/>
      <c r="T9" s="286"/>
      <c r="U9" s="277"/>
      <c r="V9" s="277"/>
      <c r="W9" s="277"/>
      <c r="X9" s="277"/>
      <c r="Y9" s="277"/>
      <c r="Z9" s="286"/>
      <c r="AA9" s="286"/>
      <c r="AB9" s="277"/>
      <c r="AC9" s="277"/>
      <c r="AD9" s="277"/>
      <c r="AE9" s="277"/>
      <c r="AF9" s="277"/>
      <c r="AG9" s="286"/>
      <c r="AH9" s="286"/>
      <c r="AI9" s="277"/>
      <c r="AJ9" s="277"/>
      <c r="AK9" s="277"/>
      <c r="AL9" s="277"/>
      <c r="AM9" s="277"/>
      <c r="AN9" s="286"/>
      <c r="AO9" s="286"/>
      <c r="AP9" s="286"/>
      <c r="AQ9" s="277"/>
      <c r="AR9" s="277"/>
      <c r="AS9" s="277"/>
      <c r="AT9" s="277"/>
      <c r="AU9" s="277"/>
      <c r="AV9" s="286"/>
      <c r="AW9" s="286"/>
      <c r="AX9" s="277"/>
      <c r="AY9" s="277"/>
      <c r="AZ9" s="277"/>
      <c r="BA9" s="277"/>
      <c r="BB9" s="277"/>
      <c r="BC9" s="286"/>
      <c r="BD9" s="286"/>
      <c r="BE9" s="277"/>
      <c r="BF9" s="277"/>
      <c r="BG9" s="277"/>
      <c r="BH9" s="277"/>
      <c r="BI9" s="277"/>
      <c r="BJ9" s="286"/>
      <c r="BK9" s="286"/>
      <c r="BL9" s="277"/>
      <c r="BM9" s="277"/>
      <c r="BN9" s="277"/>
      <c r="BO9" s="277"/>
      <c r="BP9" s="277"/>
      <c r="BQ9" s="286"/>
      <c r="BR9" s="286"/>
      <c r="BS9" s="277"/>
      <c r="BT9" s="277"/>
      <c r="BU9" s="277"/>
      <c r="BV9" s="277"/>
      <c r="BW9" s="286"/>
      <c r="BX9" s="286"/>
      <c r="BY9" s="277"/>
      <c r="BZ9" s="277"/>
      <c r="CA9" s="277"/>
      <c r="CB9" s="277"/>
      <c r="CC9" s="277"/>
      <c r="CD9" s="286"/>
      <c r="CE9" s="286"/>
      <c r="CF9" s="286"/>
      <c r="CG9" s="277"/>
      <c r="CH9" s="277"/>
      <c r="CI9" s="277"/>
      <c r="CJ9" s="277"/>
      <c r="CK9" s="277"/>
      <c r="CL9" s="286"/>
      <c r="CM9" s="286"/>
      <c r="CN9" s="277"/>
      <c r="CO9" s="277"/>
      <c r="CP9" s="277"/>
      <c r="CQ9" s="277"/>
      <c r="CR9" s="277"/>
      <c r="CS9" s="286"/>
      <c r="CT9" s="286"/>
      <c r="CU9" s="277"/>
      <c r="CV9" s="277"/>
      <c r="CW9" s="277"/>
      <c r="CX9" s="277"/>
      <c r="CY9" s="277"/>
      <c r="CZ9" s="286"/>
      <c r="DA9" s="286"/>
      <c r="DB9" s="277"/>
      <c r="DC9" s="277"/>
      <c r="DD9" s="277"/>
      <c r="DE9" s="277"/>
      <c r="DF9" s="277"/>
      <c r="DG9" s="286"/>
      <c r="DH9" s="286"/>
      <c r="DI9" s="277"/>
      <c r="DJ9" s="277"/>
      <c r="DK9" s="277"/>
      <c r="DL9" s="277"/>
      <c r="DM9" s="286"/>
      <c r="DN9" s="286"/>
      <c r="DO9" s="286"/>
      <c r="DP9" s="277"/>
      <c r="DQ9" s="277"/>
      <c r="DR9" s="277"/>
      <c r="DS9" s="277"/>
      <c r="DT9" s="277"/>
      <c r="DU9" s="286"/>
      <c r="DV9" s="286"/>
      <c r="DW9" s="277"/>
      <c r="DX9" s="277"/>
      <c r="DY9" s="277"/>
      <c r="DZ9" s="277"/>
      <c r="EA9" s="277"/>
      <c r="EB9" s="286"/>
      <c r="EC9" s="286"/>
      <c r="ED9" s="277"/>
      <c r="EE9" s="277"/>
      <c r="EF9" s="277"/>
      <c r="EG9" s="277"/>
      <c r="EH9" s="277"/>
      <c r="EI9" s="286"/>
      <c r="EJ9" s="286"/>
      <c r="EK9" s="277"/>
      <c r="EL9" s="277"/>
      <c r="EM9" s="277"/>
      <c r="EN9" s="277"/>
      <c r="EO9" s="277"/>
      <c r="EP9" s="286"/>
      <c r="EQ9" s="286"/>
      <c r="ER9" s="277"/>
      <c r="ES9" s="277"/>
      <c r="ET9" s="277"/>
      <c r="EU9" s="277"/>
      <c r="EV9" s="277"/>
      <c r="EW9" s="286"/>
      <c r="EX9" s="286"/>
      <c r="EY9" s="277"/>
      <c r="EZ9" s="277"/>
      <c r="FA9" s="277"/>
      <c r="FB9" s="277"/>
      <c r="FC9" s="277"/>
      <c r="FD9" s="286"/>
      <c r="FE9" s="286"/>
      <c r="FF9" s="277"/>
      <c r="FG9" s="277"/>
      <c r="FH9" s="277"/>
      <c r="FI9" s="277"/>
      <c r="FJ9" s="277"/>
      <c r="FK9" s="286"/>
      <c r="FL9" s="286"/>
      <c r="FM9" s="277"/>
      <c r="FN9" s="277"/>
      <c r="FO9" s="277"/>
      <c r="FP9" s="277"/>
      <c r="FQ9" s="277"/>
      <c r="FR9" s="286"/>
      <c r="FS9" s="286"/>
      <c r="FT9" s="277"/>
      <c r="FU9" s="277"/>
      <c r="FV9" s="287">
        <f>F9-SUM(N9:FC9)*2.8</f>
        <v>0</v>
      </c>
      <c r="FX9" s="284">
        <f t="shared" si="13"/>
        <v>18</v>
      </c>
      <c r="FY9" s="288">
        <f t="shared" si="13"/>
        <v>0</v>
      </c>
      <c r="FZ9" s="278" t="s">
        <v>623</v>
      </c>
      <c r="GA9" s="278" t="s">
        <v>627</v>
      </c>
      <c r="GB9" s="278">
        <f t="shared" ref="GB9:GB34" si="14">SUM(N9:FC9)</f>
        <v>0</v>
      </c>
      <c r="GC9" s="280">
        <f t="shared" ref="GC9:GC34" si="15">GB9*10</f>
        <v>0</v>
      </c>
      <c r="GD9" s="289">
        <v>47</v>
      </c>
      <c r="GE9" s="278">
        <v>1.6</v>
      </c>
      <c r="GF9" s="282">
        <f t="shared" ref="GF9:GF34" si="16">GC9*GD9*GE9</f>
        <v>0</v>
      </c>
    </row>
    <row r="10" spans="1:188" ht="27" hidden="1" customHeight="1" x14ac:dyDescent="0.3">
      <c r="A10" s="270">
        <v>19</v>
      </c>
      <c r="B10" s="285"/>
      <c r="C10" s="271"/>
      <c r="D10" s="272"/>
      <c r="E10" s="272"/>
      <c r="F10" s="273"/>
      <c r="G10" s="273"/>
      <c r="H10" s="273"/>
      <c r="I10" s="274"/>
      <c r="J10" s="275"/>
      <c r="K10" s="275"/>
      <c r="L10" s="275"/>
      <c r="M10" s="276"/>
      <c r="N10" s="277"/>
      <c r="O10" s="277"/>
      <c r="P10" s="277"/>
      <c r="Q10" s="277"/>
      <c r="R10" s="277"/>
      <c r="S10" s="286"/>
      <c r="T10" s="286"/>
      <c r="U10" s="277"/>
      <c r="V10" s="277"/>
      <c r="W10" s="277"/>
      <c r="X10" s="277"/>
      <c r="Y10" s="277"/>
      <c r="Z10" s="286"/>
      <c r="AA10" s="286"/>
      <c r="AB10" s="277"/>
      <c r="AC10" s="277"/>
      <c r="AD10" s="277"/>
      <c r="AE10" s="277"/>
      <c r="AF10" s="277"/>
      <c r="AG10" s="286"/>
      <c r="AH10" s="286"/>
      <c r="AI10" s="277"/>
      <c r="AJ10" s="277"/>
      <c r="AK10" s="277"/>
      <c r="AL10" s="277"/>
      <c r="AM10" s="277"/>
      <c r="AN10" s="286"/>
      <c r="AO10" s="286"/>
      <c r="AP10" s="286"/>
      <c r="AQ10" s="277"/>
      <c r="AR10" s="277"/>
      <c r="AS10" s="277"/>
      <c r="AT10" s="277"/>
      <c r="AU10" s="277"/>
      <c r="AV10" s="286"/>
      <c r="AW10" s="286"/>
      <c r="AX10" s="277"/>
      <c r="AY10" s="277"/>
      <c r="AZ10" s="277"/>
      <c r="BA10" s="277"/>
      <c r="BB10" s="277"/>
      <c r="BC10" s="286"/>
      <c r="BD10" s="286"/>
      <c r="BE10" s="277"/>
      <c r="BF10" s="277"/>
      <c r="BG10" s="277"/>
      <c r="BH10" s="277"/>
      <c r="BI10" s="277"/>
      <c r="BJ10" s="286"/>
      <c r="BK10" s="286"/>
      <c r="BL10" s="277"/>
      <c r="BM10" s="277"/>
      <c r="BN10" s="277"/>
      <c r="BO10" s="277"/>
      <c r="BP10" s="277"/>
      <c r="BQ10" s="286"/>
      <c r="BR10" s="286"/>
      <c r="BS10" s="277"/>
      <c r="BT10" s="277"/>
      <c r="BU10" s="277"/>
      <c r="BV10" s="277"/>
      <c r="BW10" s="286"/>
      <c r="BX10" s="286"/>
      <c r="BY10" s="277"/>
      <c r="BZ10" s="277"/>
      <c r="CA10" s="277"/>
      <c r="CB10" s="277"/>
      <c r="CC10" s="277"/>
      <c r="CD10" s="286"/>
      <c r="CE10" s="286"/>
      <c r="CF10" s="286"/>
      <c r="CG10" s="277"/>
      <c r="CH10" s="277"/>
      <c r="CI10" s="277"/>
      <c r="CJ10" s="277"/>
      <c r="CK10" s="277"/>
      <c r="CL10" s="286"/>
      <c r="CM10" s="286"/>
      <c r="CN10" s="277"/>
      <c r="CO10" s="277"/>
      <c r="CP10" s="277"/>
      <c r="CQ10" s="277"/>
      <c r="CR10" s="277"/>
      <c r="CS10" s="286"/>
      <c r="CT10" s="286"/>
      <c r="CU10" s="277"/>
      <c r="CV10" s="277"/>
      <c r="CW10" s="277"/>
      <c r="CX10" s="277"/>
      <c r="CY10" s="277"/>
      <c r="CZ10" s="286"/>
      <c r="DA10" s="286"/>
      <c r="DB10" s="277"/>
      <c r="DC10" s="277"/>
      <c r="DD10" s="277"/>
      <c r="DE10" s="277"/>
      <c r="DF10" s="277"/>
      <c r="DG10" s="286"/>
      <c r="DH10" s="286"/>
      <c r="DI10" s="277"/>
      <c r="DJ10" s="277"/>
      <c r="DK10" s="277"/>
      <c r="DL10" s="277"/>
      <c r="DM10" s="286"/>
      <c r="DN10" s="286"/>
      <c r="DO10" s="286"/>
      <c r="DP10" s="277"/>
      <c r="DQ10" s="277"/>
      <c r="DR10" s="277"/>
      <c r="DS10" s="277"/>
      <c r="DT10" s="277"/>
      <c r="DU10" s="286"/>
      <c r="DV10" s="286"/>
      <c r="DW10" s="277"/>
      <c r="DX10" s="277"/>
      <c r="DY10" s="277"/>
      <c r="DZ10" s="277"/>
      <c r="EA10" s="277"/>
      <c r="EB10" s="286"/>
      <c r="EC10" s="286"/>
      <c r="ED10" s="277"/>
      <c r="EE10" s="277"/>
      <c r="EF10" s="277"/>
      <c r="EG10" s="277"/>
      <c r="EH10" s="277"/>
      <c r="EI10" s="286"/>
      <c r="EJ10" s="286"/>
      <c r="EK10" s="277"/>
      <c r="EL10" s="277"/>
      <c r="EM10" s="277"/>
      <c r="EN10" s="277"/>
      <c r="EO10" s="277"/>
      <c r="EP10" s="286"/>
      <c r="EQ10" s="286"/>
      <c r="ER10" s="277"/>
      <c r="ES10" s="277"/>
      <c r="ET10" s="277"/>
      <c r="EU10" s="277"/>
      <c r="EV10" s="277"/>
      <c r="EW10" s="286"/>
      <c r="EX10" s="286"/>
      <c r="EY10" s="277"/>
      <c r="EZ10" s="277"/>
      <c r="FA10" s="277"/>
      <c r="FB10" s="277"/>
      <c r="FC10" s="277"/>
      <c r="FD10" s="286"/>
      <c r="FE10" s="286"/>
      <c r="FF10" s="277"/>
      <c r="FG10" s="277"/>
      <c r="FH10" s="277"/>
      <c r="FI10" s="277"/>
      <c r="FJ10" s="277"/>
      <c r="FK10" s="286"/>
      <c r="FL10" s="286"/>
      <c r="FM10" s="277"/>
      <c r="FN10" s="277"/>
      <c r="FO10" s="277"/>
      <c r="FP10" s="277"/>
      <c r="FQ10" s="277"/>
      <c r="FR10" s="286"/>
      <c r="FS10" s="286"/>
      <c r="FT10" s="277"/>
      <c r="FU10" s="277"/>
      <c r="FV10" s="287">
        <f>F10-SUM(N10:FC10)*2.8</f>
        <v>0</v>
      </c>
      <c r="FX10" s="278">
        <f t="shared" si="13"/>
        <v>19</v>
      </c>
      <c r="FY10" s="288">
        <f t="shared" si="13"/>
        <v>0</v>
      </c>
      <c r="FZ10" s="278" t="s">
        <v>623</v>
      </c>
      <c r="GA10" s="278" t="s">
        <v>627</v>
      </c>
      <c r="GB10" s="278">
        <f t="shared" si="14"/>
        <v>0</v>
      </c>
      <c r="GC10" s="280">
        <f t="shared" si="15"/>
        <v>0</v>
      </c>
      <c r="GD10" s="289">
        <v>47</v>
      </c>
      <c r="GE10" s="278">
        <v>1.6</v>
      </c>
      <c r="GF10" s="282">
        <f t="shared" si="16"/>
        <v>0</v>
      </c>
    </row>
    <row r="11" spans="1:188" ht="27" hidden="1" customHeight="1" x14ac:dyDescent="0.3">
      <c r="A11" s="270">
        <v>20</v>
      </c>
      <c r="B11" s="285"/>
      <c r="C11" s="271"/>
      <c r="D11" s="272"/>
      <c r="E11" s="272"/>
      <c r="F11" s="273"/>
      <c r="G11" s="273"/>
      <c r="H11" s="273"/>
      <c r="I11" s="274"/>
      <c r="J11" s="275"/>
      <c r="K11" s="275"/>
      <c r="L11" s="275"/>
      <c r="M11" s="276"/>
      <c r="N11" s="277"/>
      <c r="O11" s="277"/>
      <c r="P11" s="277"/>
      <c r="Q11" s="277"/>
      <c r="R11" s="277"/>
      <c r="S11" s="286"/>
      <c r="T11" s="286"/>
      <c r="U11" s="277"/>
      <c r="V11" s="277"/>
      <c r="W11" s="277"/>
      <c r="X11" s="277"/>
      <c r="Y11" s="277"/>
      <c r="Z11" s="286"/>
      <c r="AA11" s="286"/>
      <c r="AB11" s="277"/>
      <c r="AC11" s="277"/>
      <c r="AD11" s="277"/>
      <c r="AE11" s="277"/>
      <c r="AF11" s="277"/>
      <c r="AG11" s="286"/>
      <c r="AH11" s="286"/>
      <c r="AI11" s="277"/>
      <c r="AJ11" s="277"/>
      <c r="AK11" s="277"/>
      <c r="AL11" s="277"/>
      <c r="AM11" s="277"/>
      <c r="AN11" s="286"/>
      <c r="AO11" s="286"/>
      <c r="AP11" s="286"/>
      <c r="AQ11" s="277"/>
      <c r="AR11" s="277"/>
      <c r="AS11" s="277"/>
      <c r="AT11" s="277"/>
      <c r="AU11" s="277"/>
      <c r="AV11" s="286"/>
      <c r="AW11" s="286"/>
      <c r="AX11" s="277"/>
      <c r="AY11" s="277"/>
      <c r="AZ11" s="277"/>
      <c r="BA11" s="277"/>
      <c r="BB11" s="277"/>
      <c r="BC11" s="286"/>
      <c r="BD11" s="286"/>
      <c r="BE11" s="277"/>
      <c r="BF11" s="277"/>
      <c r="BG11" s="277"/>
      <c r="BH11" s="277"/>
      <c r="BI11" s="277"/>
      <c r="BJ11" s="286"/>
      <c r="BK11" s="286"/>
      <c r="BL11" s="277"/>
      <c r="BM11" s="277"/>
      <c r="BN11" s="277"/>
      <c r="BO11" s="277"/>
      <c r="BP11" s="277"/>
      <c r="BQ11" s="286"/>
      <c r="BR11" s="286"/>
      <c r="BS11" s="277"/>
      <c r="BT11" s="277"/>
      <c r="BU11" s="277"/>
      <c r="BV11" s="277"/>
      <c r="BW11" s="286"/>
      <c r="BX11" s="286"/>
      <c r="BY11" s="277"/>
      <c r="BZ11" s="277"/>
      <c r="CA11" s="277"/>
      <c r="CB11" s="277"/>
      <c r="CC11" s="277"/>
      <c r="CD11" s="286"/>
      <c r="CE11" s="286"/>
      <c r="CF11" s="286"/>
      <c r="CG11" s="277"/>
      <c r="CH11" s="277"/>
      <c r="CI11" s="277"/>
      <c r="CJ11" s="277"/>
      <c r="CK11" s="277"/>
      <c r="CL11" s="286"/>
      <c r="CM11" s="286"/>
      <c r="CN11" s="277"/>
      <c r="CO11" s="277"/>
      <c r="CP11" s="277"/>
      <c r="CQ11" s="277"/>
      <c r="CR11" s="277"/>
      <c r="CS11" s="286"/>
      <c r="CT11" s="286"/>
      <c r="CU11" s="277"/>
      <c r="CV11" s="277"/>
      <c r="CW11" s="277"/>
      <c r="CX11" s="277"/>
      <c r="CY11" s="277"/>
      <c r="CZ11" s="286"/>
      <c r="DA11" s="286"/>
      <c r="DB11" s="277"/>
      <c r="DC11" s="277"/>
      <c r="DD11" s="277"/>
      <c r="DE11" s="277"/>
      <c r="DF11" s="277"/>
      <c r="DG11" s="286"/>
      <c r="DH11" s="286"/>
      <c r="DI11" s="277"/>
      <c r="DJ11" s="277"/>
      <c r="DK11" s="277"/>
      <c r="DL11" s="277"/>
      <c r="DM11" s="286"/>
      <c r="DN11" s="286"/>
      <c r="DO11" s="286"/>
      <c r="DP11" s="277"/>
      <c r="DQ11" s="277"/>
      <c r="DR11" s="277"/>
      <c r="DS11" s="277"/>
      <c r="DT11" s="277"/>
      <c r="DU11" s="286"/>
      <c r="DV11" s="286"/>
      <c r="DW11" s="277"/>
      <c r="DX11" s="277"/>
      <c r="DY11" s="277"/>
      <c r="DZ11" s="277"/>
      <c r="EA11" s="277"/>
      <c r="EB11" s="286"/>
      <c r="EC11" s="286"/>
      <c r="ED11" s="277"/>
      <c r="EE11" s="277"/>
      <c r="EF11" s="277"/>
      <c r="EG11" s="277"/>
      <c r="EH11" s="277"/>
      <c r="EI11" s="286"/>
      <c r="EJ11" s="286"/>
      <c r="EK11" s="277"/>
      <c r="EL11" s="277"/>
      <c r="EM11" s="277"/>
      <c r="EN11" s="277"/>
      <c r="EO11" s="277"/>
      <c r="EP11" s="286"/>
      <c r="EQ11" s="286"/>
      <c r="ER11" s="277"/>
      <c r="ES11" s="277"/>
      <c r="ET11" s="277"/>
      <c r="EU11" s="277"/>
      <c r="EV11" s="277"/>
      <c r="EW11" s="286"/>
      <c r="EX11" s="286"/>
      <c r="EY11" s="277"/>
      <c r="EZ11" s="277"/>
      <c r="FA11" s="277"/>
      <c r="FB11" s="277"/>
      <c r="FC11" s="277"/>
      <c r="FD11" s="286"/>
      <c r="FE11" s="286"/>
      <c r="FF11" s="277"/>
      <c r="FG11" s="277"/>
      <c r="FH11" s="277"/>
      <c r="FI11" s="277"/>
      <c r="FJ11" s="277"/>
      <c r="FK11" s="286"/>
      <c r="FL11" s="286"/>
      <c r="FM11" s="277"/>
      <c r="FN11" s="277"/>
      <c r="FO11" s="277"/>
      <c r="FP11" s="277"/>
      <c r="FQ11" s="277"/>
      <c r="FR11" s="286"/>
      <c r="FS11" s="286"/>
      <c r="FT11" s="277"/>
      <c r="FU11" s="277"/>
      <c r="FV11" s="287">
        <f>F11-SUM(N11:FC11)*2.8</f>
        <v>0</v>
      </c>
      <c r="FX11" s="278">
        <f t="shared" si="13"/>
        <v>20</v>
      </c>
      <c r="FY11" s="288">
        <f t="shared" si="13"/>
        <v>0</v>
      </c>
      <c r="FZ11" s="278" t="s">
        <v>623</v>
      </c>
      <c r="GA11" s="278" t="s">
        <v>627</v>
      </c>
      <c r="GB11" s="278">
        <f t="shared" si="14"/>
        <v>0</v>
      </c>
      <c r="GC11" s="280">
        <f t="shared" si="15"/>
        <v>0</v>
      </c>
      <c r="GD11" s="289">
        <v>47</v>
      </c>
      <c r="GE11" s="278">
        <v>1.6</v>
      </c>
      <c r="GF11" s="282">
        <f t="shared" si="16"/>
        <v>0</v>
      </c>
    </row>
    <row r="12" spans="1:188" ht="27" hidden="1" customHeight="1" thickBot="1" x14ac:dyDescent="0.35">
      <c r="A12" s="270">
        <v>21</v>
      </c>
      <c r="B12" s="285"/>
      <c r="C12" s="271"/>
      <c r="D12" s="272"/>
      <c r="E12" s="272"/>
      <c r="F12" s="273"/>
      <c r="G12" s="273"/>
      <c r="H12" s="273"/>
      <c r="I12" s="274"/>
      <c r="J12" s="275"/>
      <c r="K12" s="275"/>
      <c r="L12" s="275"/>
      <c r="M12" s="276"/>
      <c r="N12" s="277"/>
      <c r="O12" s="277"/>
      <c r="P12" s="277"/>
      <c r="Q12" s="277"/>
      <c r="R12" s="277"/>
      <c r="S12" s="286"/>
      <c r="T12" s="286"/>
      <c r="U12" s="277"/>
      <c r="V12" s="277"/>
      <c r="W12" s="277"/>
      <c r="X12" s="277"/>
      <c r="Y12" s="277"/>
      <c r="Z12" s="286"/>
      <c r="AA12" s="286"/>
      <c r="AB12" s="277"/>
      <c r="AC12" s="277"/>
      <c r="AD12" s="277"/>
      <c r="AE12" s="277"/>
      <c r="AF12" s="277"/>
      <c r="AG12" s="286"/>
      <c r="AH12" s="286"/>
      <c r="AI12" s="277"/>
      <c r="AJ12" s="277"/>
      <c r="AK12" s="277"/>
      <c r="AL12" s="277"/>
      <c r="AM12" s="277"/>
      <c r="AN12" s="286"/>
      <c r="AO12" s="286"/>
      <c r="AP12" s="286"/>
      <c r="AQ12" s="277"/>
      <c r="AR12" s="277"/>
      <c r="AS12" s="277"/>
      <c r="AT12" s="277"/>
      <c r="AU12" s="277"/>
      <c r="AV12" s="286"/>
      <c r="AW12" s="286"/>
      <c r="AX12" s="277"/>
      <c r="AY12" s="277"/>
      <c r="AZ12" s="277"/>
      <c r="BA12" s="277"/>
      <c r="BB12" s="277"/>
      <c r="BC12" s="286"/>
      <c r="BD12" s="286"/>
      <c r="BE12" s="277"/>
      <c r="BF12" s="277"/>
      <c r="BG12" s="277"/>
      <c r="BH12" s="277"/>
      <c r="BI12" s="277"/>
      <c r="BJ12" s="286"/>
      <c r="BK12" s="286"/>
      <c r="BL12" s="277"/>
      <c r="BM12" s="277"/>
      <c r="BN12" s="277"/>
      <c r="BO12" s="277"/>
      <c r="BP12" s="277"/>
      <c r="BQ12" s="286"/>
      <c r="BR12" s="286"/>
      <c r="BS12" s="277"/>
      <c r="BT12" s="277"/>
      <c r="BU12" s="277"/>
      <c r="BV12" s="277"/>
      <c r="BW12" s="286"/>
      <c r="BX12" s="286"/>
      <c r="BY12" s="277"/>
      <c r="BZ12" s="277"/>
      <c r="CA12" s="277"/>
      <c r="CB12" s="277"/>
      <c r="CC12" s="277"/>
      <c r="CD12" s="286"/>
      <c r="CE12" s="286"/>
      <c r="CF12" s="286"/>
      <c r="CG12" s="277"/>
      <c r="CH12" s="277"/>
      <c r="CI12" s="277"/>
      <c r="CJ12" s="277"/>
      <c r="CK12" s="277"/>
      <c r="CL12" s="286"/>
      <c r="CM12" s="286"/>
      <c r="CN12" s="277"/>
      <c r="CO12" s="277"/>
      <c r="CP12" s="277"/>
      <c r="CQ12" s="277"/>
      <c r="CR12" s="277"/>
      <c r="CS12" s="286"/>
      <c r="CT12" s="286"/>
      <c r="CU12" s="277"/>
      <c r="CV12" s="277"/>
      <c r="CW12" s="277"/>
      <c r="CX12" s="277"/>
      <c r="CY12" s="277"/>
      <c r="CZ12" s="286"/>
      <c r="DA12" s="286"/>
      <c r="DB12" s="277"/>
      <c r="DC12" s="277"/>
      <c r="DD12" s="277"/>
      <c r="DE12" s="277"/>
      <c r="DF12" s="277"/>
      <c r="DG12" s="286"/>
      <c r="DH12" s="286"/>
      <c r="DI12" s="277"/>
      <c r="DJ12" s="277"/>
      <c r="DK12" s="277"/>
      <c r="DL12" s="277"/>
      <c r="DM12" s="286"/>
      <c r="DN12" s="286"/>
      <c r="DO12" s="286"/>
      <c r="DP12" s="277"/>
      <c r="DQ12" s="277"/>
      <c r="DR12" s="277"/>
      <c r="DS12" s="277"/>
      <c r="DT12" s="277"/>
      <c r="DU12" s="286"/>
      <c r="DV12" s="286"/>
      <c r="DW12" s="277"/>
      <c r="DX12" s="277"/>
      <c r="DY12" s="277"/>
      <c r="DZ12" s="277"/>
      <c r="EA12" s="277"/>
      <c r="EB12" s="286"/>
      <c r="EC12" s="286"/>
      <c r="ED12" s="277"/>
      <c r="EE12" s="277"/>
      <c r="EF12" s="277"/>
      <c r="EG12" s="277"/>
      <c r="EH12" s="277"/>
      <c r="EI12" s="286"/>
      <c r="EJ12" s="286"/>
      <c r="EK12" s="277"/>
      <c r="EL12" s="277"/>
      <c r="EM12" s="277"/>
      <c r="EN12" s="277"/>
      <c r="EO12" s="277"/>
      <c r="EP12" s="286"/>
      <c r="EQ12" s="286"/>
      <c r="ER12" s="277"/>
      <c r="ES12" s="277"/>
      <c r="ET12" s="277"/>
      <c r="EU12" s="277"/>
      <c r="EV12" s="277"/>
      <c r="EW12" s="286"/>
      <c r="EX12" s="286"/>
      <c r="EY12" s="277"/>
      <c r="EZ12" s="277"/>
      <c r="FA12" s="277"/>
      <c r="FB12" s="277"/>
      <c r="FC12" s="277"/>
      <c r="FD12" s="286"/>
      <c r="FE12" s="286"/>
      <c r="FF12" s="277"/>
      <c r="FG12" s="277"/>
      <c r="FH12" s="277"/>
      <c r="FI12" s="277"/>
      <c r="FJ12" s="277"/>
      <c r="FK12" s="286"/>
      <c r="FL12" s="286"/>
      <c r="FM12" s="277"/>
      <c r="FN12" s="277"/>
      <c r="FO12" s="277"/>
      <c r="FP12" s="277"/>
      <c r="FQ12" s="277"/>
      <c r="FR12" s="286"/>
      <c r="FS12" s="286"/>
      <c r="FT12" s="277"/>
      <c r="FU12" s="277"/>
      <c r="FV12" s="287">
        <f>F12-SUM(N12:FC12)*2.8</f>
        <v>0</v>
      </c>
      <c r="FX12" s="278">
        <f t="shared" si="13"/>
        <v>21</v>
      </c>
      <c r="FY12" s="288">
        <f t="shared" si="13"/>
        <v>0</v>
      </c>
      <c r="FZ12" s="278" t="s">
        <v>623</v>
      </c>
      <c r="GA12" s="278" t="s">
        <v>627</v>
      </c>
      <c r="GB12" s="278">
        <f t="shared" si="14"/>
        <v>0</v>
      </c>
      <c r="GC12" s="280">
        <f t="shared" si="15"/>
        <v>0</v>
      </c>
      <c r="GD12" s="289">
        <v>47</v>
      </c>
      <c r="GE12" s="278">
        <v>1.6</v>
      </c>
      <c r="GF12" s="282">
        <f t="shared" si="16"/>
        <v>0</v>
      </c>
    </row>
    <row r="13" spans="1:188" ht="27" hidden="1" customHeight="1" x14ac:dyDescent="0.3">
      <c r="A13" s="270">
        <v>7</v>
      </c>
      <c r="B13" s="285"/>
      <c r="C13" s="271"/>
      <c r="D13" s="272"/>
      <c r="E13" s="272"/>
      <c r="F13" s="273"/>
      <c r="G13" s="273"/>
      <c r="H13" s="273"/>
      <c r="I13" s="274"/>
      <c r="J13" s="275"/>
      <c r="K13" s="275"/>
      <c r="L13" s="275"/>
      <c r="M13" s="276"/>
      <c r="N13" s="277"/>
      <c r="O13" s="277"/>
      <c r="P13" s="277"/>
      <c r="Q13" s="277"/>
      <c r="R13" s="277"/>
      <c r="S13" s="286"/>
      <c r="T13" s="286"/>
      <c r="U13" s="277"/>
      <c r="V13" s="277"/>
      <c r="W13" s="277"/>
      <c r="X13" s="277"/>
      <c r="Y13" s="277"/>
      <c r="Z13" s="286"/>
      <c r="AA13" s="286"/>
      <c r="AB13" s="277"/>
      <c r="AC13" s="277"/>
      <c r="AD13" s="277"/>
      <c r="AE13" s="277"/>
      <c r="AF13" s="277"/>
      <c r="AG13" s="286"/>
      <c r="AH13" s="286"/>
      <c r="AI13" s="277"/>
      <c r="AJ13" s="277"/>
      <c r="AK13" s="277"/>
      <c r="AL13" s="277"/>
      <c r="AM13" s="277"/>
      <c r="AN13" s="286"/>
      <c r="AO13" s="286"/>
      <c r="AP13" s="286"/>
      <c r="AQ13" s="277"/>
      <c r="AR13" s="277"/>
      <c r="AS13" s="277"/>
      <c r="AT13" s="277"/>
      <c r="AU13" s="277"/>
      <c r="AV13" s="286"/>
      <c r="AW13" s="286"/>
      <c r="AX13" s="277"/>
      <c r="AY13" s="277"/>
      <c r="AZ13" s="277"/>
      <c r="BA13" s="277"/>
      <c r="BB13" s="277"/>
      <c r="BC13" s="286"/>
      <c r="BD13" s="286"/>
      <c r="BE13" s="277"/>
      <c r="BF13" s="277"/>
      <c r="BG13" s="277"/>
      <c r="BH13" s="277"/>
      <c r="BI13" s="277"/>
      <c r="BJ13" s="286"/>
      <c r="BK13" s="286"/>
      <c r="BL13" s="277"/>
      <c r="BM13" s="277"/>
      <c r="BN13" s="277"/>
      <c r="BO13" s="277"/>
      <c r="BP13" s="277"/>
      <c r="BQ13" s="286"/>
      <c r="BR13" s="286"/>
      <c r="BS13" s="277"/>
      <c r="BT13" s="277"/>
      <c r="BU13" s="277"/>
      <c r="BV13" s="277"/>
      <c r="BW13" s="286"/>
      <c r="BX13" s="286"/>
      <c r="BY13" s="277"/>
      <c r="BZ13" s="277"/>
      <c r="CA13" s="277"/>
      <c r="CB13" s="277"/>
      <c r="CC13" s="277"/>
      <c r="CD13" s="286"/>
      <c r="CE13" s="286"/>
      <c r="CF13" s="286"/>
      <c r="CG13" s="277"/>
      <c r="CH13" s="277"/>
      <c r="CI13" s="277"/>
      <c r="CJ13" s="277"/>
      <c r="CK13" s="277"/>
      <c r="CL13" s="286"/>
      <c r="CM13" s="286"/>
      <c r="CN13" s="277"/>
      <c r="CO13" s="277"/>
      <c r="CP13" s="277"/>
      <c r="CQ13" s="277"/>
      <c r="CR13" s="277"/>
      <c r="CS13" s="286"/>
      <c r="CT13" s="286"/>
      <c r="CU13" s="277"/>
      <c r="CV13" s="277"/>
      <c r="CW13" s="277"/>
      <c r="CX13" s="277"/>
      <c r="CY13" s="277"/>
      <c r="CZ13" s="286"/>
      <c r="DA13" s="286"/>
      <c r="DB13" s="277"/>
      <c r="DC13" s="277"/>
      <c r="DD13" s="277"/>
      <c r="DE13" s="277"/>
      <c r="DF13" s="277"/>
      <c r="DG13" s="286"/>
      <c r="DH13" s="286"/>
      <c r="DI13" s="277"/>
      <c r="DJ13" s="277"/>
      <c r="DK13" s="277"/>
      <c r="DL13" s="277"/>
      <c r="DM13" s="286"/>
      <c r="DN13" s="286"/>
      <c r="DO13" s="286"/>
      <c r="DP13" s="277"/>
      <c r="DQ13" s="277"/>
      <c r="DR13" s="277"/>
      <c r="DS13" s="277"/>
      <c r="DT13" s="277"/>
      <c r="DU13" s="286"/>
      <c r="DV13" s="286"/>
      <c r="DW13" s="277"/>
      <c r="DX13" s="277"/>
      <c r="DY13" s="277"/>
      <c r="DZ13" s="277"/>
      <c r="EA13" s="277"/>
      <c r="EB13" s="286"/>
      <c r="EC13" s="286"/>
      <c r="ED13" s="277"/>
      <c r="EE13" s="277"/>
      <c r="EF13" s="277"/>
      <c r="EG13" s="277"/>
      <c r="EH13" s="277"/>
      <c r="EI13" s="286"/>
      <c r="EJ13" s="286"/>
      <c r="EK13" s="277"/>
      <c r="EL13" s="277"/>
      <c r="EM13" s="277"/>
      <c r="EN13" s="277"/>
      <c r="EO13" s="277"/>
      <c r="EP13" s="286"/>
      <c r="EQ13" s="286"/>
      <c r="ER13" s="277"/>
      <c r="ES13" s="277"/>
      <c r="ET13" s="277"/>
      <c r="EU13" s="277"/>
      <c r="EV13" s="277"/>
      <c r="EW13" s="286"/>
      <c r="EX13" s="286"/>
      <c r="EY13" s="277"/>
      <c r="EZ13" s="277"/>
      <c r="FA13" s="277"/>
      <c r="FB13" s="277"/>
      <c r="FC13" s="277"/>
      <c r="FD13" s="286"/>
      <c r="FE13" s="286"/>
      <c r="FF13" s="277"/>
      <c r="FG13" s="277"/>
      <c r="FH13" s="277"/>
      <c r="FI13" s="277"/>
      <c r="FJ13" s="277"/>
      <c r="FK13" s="286"/>
      <c r="FL13" s="286"/>
      <c r="FM13" s="277"/>
      <c r="FN13" s="277"/>
      <c r="FO13" s="277"/>
      <c r="FP13" s="277"/>
      <c r="FQ13" s="277"/>
      <c r="FR13" s="286"/>
      <c r="FS13" s="286"/>
      <c r="FT13" s="277"/>
      <c r="FU13" s="277"/>
      <c r="FV13" s="287">
        <f t="shared" ref="FV13:FV34" si="17">F13-SUM(N13:FC13)*3</f>
        <v>0</v>
      </c>
      <c r="FX13" s="278">
        <f t="shared" si="13"/>
        <v>7</v>
      </c>
      <c r="FY13" s="288">
        <f t="shared" si="13"/>
        <v>0</v>
      </c>
      <c r="FZ13" s="278" t="s">
        <v>623</v>
      </c>
      <c r="GA13" s="278" t="s">
        <v>627</v>
      </c>
      <c r="GB13" s="278">
        <f t="shared" si="14"/>
        <v>0</v>
      </c>
      <c r="GC13" s="280">
        <f t="shared" si="15"/>
        <v>0</v>
      </c>
      <c r="GD13" s="289">
        <v>47</v>
      </c>
      <c r="GE13" s="278">
        <v>1.6</v>
      </c>
      <c r="GF13" s="282">
        <f t="shared" si="16"/>
        <v>0</v>
      </c>
    </row>
    <row r="14" spans="1:188" ht="27" hidden="1" customHeight="1" x14ac:dyDescent="0.3">
      <c r="A14" s="270">
        <v>8</v>
      </c>
      <c r="B14" s="285"/>
      <c r="C14" s="271"/>
      <c r="D14" s="272"/>
      <c r="E14" s="272"/>
      <c r="F14" s="273"/>
      <c r="G14" s="273"/>
      <c r="H14" s="273"/>
      <c r="I14" s="274"/>
      <c r="J14" s="275"/>
      <c r="K14" s="275"/>
      <c r="L14" s="275"/>
      <c r="M14" s="276"/>
      <c r="N14" s="277"/>
      <c r="O14" s="277"/>
      <c r="P14" s="277"/>
      <c r="Q14" s="277"/>
      <c r="R14" s="277"/>
      <c r="S14" s="286"/>
      <c r="T14" s="286"/>
      <c r="U14" s="277"/>
      <c r="V14" s="277"/>
      <c r="W14" s="277"/>
      <c r="X14" s="277"/>
      <c r="Y14" s="277"/>
      <c r="Z14" s="286"/>
      <c r="AA14" s="286"/>
      <c r="AB14" s="277"/>
      <c r="AC14" s="277"/>
      <c r="AD14" s="277"/>
      <c r="AE14" s="277"/>
      <c r="AF14" s="277"/>
      <c r="AG14" s="286"/>
      <c r="AH14" s="286"/>
      <c r="AI14" s="277"/>
      <c r="AJ14" s="277"/>
      <c r="AK14" s="277"/>
      <c r="AL14" s="277"/>
      <c r="AM14" s="277"/>
      <c r="AN14" s="286"/>
      <c r="AO14" s="286"/>
      <c r="AP14" s="286"/>
      <c r="AQ14" s="277"/>
      <c r="AR14" s="277"/>
      <c r="AS14" s="277"/>
      <c r="AT14" s="277"/>
      <c r="AU14" s="277"/>
      <c r="AV14" s="286"/>
      <c r="AW14" s="286"/>
      <c r="AX14" s="277"/>
      <c r="AY14" s="277"/>
      <c r="AZ14" s="277"/>
      <c r="BA14" s="277"/>
      <c r="BB14" s="277"/>
      <c r="BC14" s="286"/>
      <c r="BD14" s="286"/>
      <c r="BE14" s="277"/>
      <c r="BF14" s="277"/>
      <c r="BG14" s="277"/>
      <c r="BH14" s="277"/>
      <c r="BI14" s="277"/>
      <c r="BJ14" s="286"/>
      <c r="BK14" s="286"/>
      <c r="BL14" s="277"/>
      <c r="BM14" s="277"/>
      <c r="BN14" s="277"/>
      <c r="BO14" s="277"/>
      <c r="BP14" s="277"/>
      <c r="BQ14" s="286"/>
      <c r="BR14" s="286"/>
      <c r="BS14" s="277"/>
      <c r="BT14" s="277"/>
      <c r="BU14" s="277"/>
      <c r="BV14" s="277"/>
      <c r="BW14" s="286"/>
      <c r="BX14" s="286"/>
      <c r="BY14" s="277"/>
      <c r="BZ14" s="277"/>
      <c r="CA14" s="277"/>
      <c r="CB14" s="277"/>
      <c r="CC14" s="277"/>
      <c r="CD14" s="286"/>
      <c r="CE14" s="286"/>
      <c r="CF14" s="286"/>
      <c r="CG14" s="277"/>
      <c r="CH14" s="277"/>
      <c r="CI14" s="277"/>
      <c r="CJ14" s="277"/>
      <c r="CK14" s="277"/>
      <c r="CL14" s="286"/>
      <c r="CM14" s="286"/>
      <c r="CN14" s="277"/>
      <c r="CO14" s="277"/>
      <c r="CP14" s="277"/>
      <c r="CQ14" s="277"/>
      <c r="CR14" s="277"/>
      <c r="CS14" s="286"/>
      <c r="CT14" s="286"/>
      <c r="CU14" s="277"/>
      <c r="CV14" s="277"/>
      <c r="CW14" s="277"/>
      <c r="CX14" s="277"/>
      <c r="CY14" s="277"/>
      <c r="CZ14" s="286"/>
      <c r="DA14" s="286"/>
      <c r="DB14" s="277"/>
      <c r="DC14" s="277"/>
      <c r="DD14" s="277"/>
      <c r="DE14" s="277"/>
      <c r="DF14" s="277"/>
      <c r="DG14" s="286"/>
      <c r="DH14" s="286"/>
      <c r="DI14" s="277"/>
      <c r="DJ14" s="277"/>
      <c r="DK14" s="277"/>
      <c r="DL14" s="277"/>
      <c r="DM14" s="286"/>
      <c r="DN14" s="286"/>
      <c r="DO14" s="286"/>
      <c r="DP14" s="277"/>
      <c r="DQ14" s="277"/>
      <c r="DR14" s="277"/>
      <c r="DS14" s="277"/>
      <c r="DT14" s="277"/>
      <c r="DU14" s="286"/>
      <c r="DV14" s="286"/>
      <c r="DW14" s="277"/>
      <c r="DX14" s="277"/>
      <c r="DY14" s="277"/>
      <c r="DZ14" s="277"/>
      <c r="EA14" s="277"/>
      <c r="EB14" s="286"/>
      <c r="EC14" s="286"/>
      <c r="ED14" s="277"/>
      <c r="EE14" s="277"/>
      <c r="EF14" s="277"/>
      <c r="EG14" s="277"/>
      <c r="EH14" s="277"/>
      <c r="EI14" s="286"/>
      <c r="EJ14" s="286"/>
      <c r="EK14" s="277"/>
      <c r="EL14" s="277"/>
      <c r="EM14" s="277"/>
      <c r="EN14" s="277"/>
      <c r="EO14" s="277"/>
      <c r="EP14" s="286"/>
      <c r="EQ14" s="286"/>
      <c r="ER14" s="277"/>
      <c r="ES14" s="277"/>
      <c r="ET14" s="277"/>
      <c r="EU14" s="277"/>
      <c r="EV14" s="277"/>
      <c r="EW14" s="286"/>
      <c r="EX14" s="286"/>
      <c r="EY14" s="277"/>
      <c r="EZ14" s="277"/>
      <c r="FA14" s="277"/>
      <c r="FB14" s="277"/>
      <c r="FC14" s="277"/>
      <c r="FD14" s="286"/>
      <c r="FE14" s="286"/>
      <c r="FF14" s="277"/>
      <c r="FG14" s="277"/>
      <c r="FH14" s="277"/>
      <c r="FI14" s="277"/>
      <c r="FJ14" s="277"/>
      <c r="FK14" s="286"/>
      <c r="FL14" s="286"/>
      <c r="FM14" s="277"/>
      <c r="FN14" s="277"/>
      <c r="FO14" s="277"/>
      <c r="FP14" s="277"/>
      <c r="FQ14" s="277"/>
      <c r="FR14" s="286"/>
      <c r="FS14" s="286"/>
      <c r="FT14" s="277"/>
      <c r="FU14" s="277"/>
      <c r="FV14" s="287">
        <f t="shared" si="17"/>
        <v>0</v>
      </c>
      <c r="FX14" s="278">
        <f t="shared" si="13"/>
        <v>8</v>
      </c>
      <c r="FY14" s="288">
        <f t="shared" si="13"/>
        <v>0</v>
      </c>
      <c r="FZ14" s="278" t="s">
        <v>623</v>
      </c>
      <c r="GA14" s="278" t="s">
        <v>627</v>
      </c>
      <c r="GB14" s="278">
        <f t="shared" si="14"/>
        <v>0</v>
      </c>
      <c r="GC14" s="280">
        <f t="shared" si="15"/>
        <v>0</v>
      </c>
      <c r="GD14" s="289">
        <v>47</v>
      </c>
      <c r="GE14" s="278">
        <v>1.6</v>
      </c>
      <c r="GF14" s="282">
        <f t="shared" si="16"/>
        <v>0</v>
      </c>
    </row>
    <row r="15" spans="1:188" ht="27" hidden="1" customHeight="1" x14ac:dyDescent="0.3">
      <c r="A15" s="270">
        <v>9</v>
      </c>
      <c r="B15" s="285"/>
      <c r="C15" s="271"/>
      <c r="D15" s="272"/>
      <c r="E15" s="272"/>
      <c r="F15" s="273"/>
      <c r="G15" s="273"/>
      <c r="H15" s="273"/>
      <c r="I15" s="274"/>
      <c r="J15" s="275"/>
      <c r="K15" s="275"/>
      <c r="L15" s="275"/>
      <c r="M15" s="276"/>
      <c r="N15" s="277"/>
      <c r="O15" s="277"/>
      <c r="P15" s="277"/>
      <c r="Q15" s="277"/>
      <c r="R15" s="277"/>
      <c r="S15" s="286"/>
      <c r="T15" s="286"/>
      <c r="U15" s="277"/>
      <c r="V15" s="277"/>
      <c r="W15" s="277"/>
      <c r="X15" s="277"/>
      <c r="Y15" s="277"/>
      <c r="Z15" s="286"/>
      <c r="AA15" s="286"/>
      <c r="AB15" s="277"/>
      <c r="AC15" s="277"/>
      <c r="AD15" s="277"/>
      <c r="AE15" s="277"/>
      <c r="AF15" s="277"/>
      <c r="AG15" s="286"/>
      <c r="AH15" s="286"/>
      <c r="AI15" s="277"/>
      <c r="AJ15" s="277"/>
      <c r="AK15" s="277"/>
      <c r="AL15" s="277"/>
      <c r="AM15" s="277"/>
      <c r="AN15" s="286"/>
      <c r="AO15" s="286"/>
      <c r="AP15" s="286"/>
      <c r="AQ15" s="277"/>
      <c r="AR15" s="277"/>
      <c r="AS15" s="277"/>
      <c r="AT15" s="277"/>
      <c r="AU15" s="277"/>
      <c r="AV15" s="286"/>
      <c r="AW15" s="286"/>
      <c r="AX15" s="277"/>
      <c r="AY15" s="277"/>
      <c r="AZ15" s="277"/>
      <c r="BA15" s="277"/>
      <c r="BB15" s="277"/>
      <c r="BC15" s="286"/>
      <c r="BD15" s="286"/>
      <c r="BE15" s="277"/>
      <c r="BF15" s="277"/>
      <c r="BG15" s="277"/>
      <c r="BH15" s="277"/>
      <c r="BI15" s="277"/>
      <c r="BJ15" s="286"/>
      <c r="BK15" s="286"/>
      <c r="BL15" s="277"/>
      <c r="BM15" s="277"/>
      <c r="BN15" s="277"/>
      <c r="BO15" s="277"/>
      <c r="BP15" s="277"/>
      <c r="BQ15" s="286"/>
      <c r="BR15" s="286"/>
      <c r="BS15" s="277"/>
      <c r="BT15" s="277"/>
      <c r="BU15" s="277"/>
      <c r="BV15" s="277"/>
      <c r="BW15" s="286"/>
      <c r="BX15" s="286"/>
      <c r="BY15" s="277"/>
      <c r="BZ15" s="277"/>
      <c r="CA15" s="277"/>
      <c r="CB15" s="277"/>
      <c r="CC15" s="277"/>
      <c r="CD15" s="286"/>
      <c r="CE15" s="286"/>
      <c r="CF15" s="286"/>
      <c r="CG15" s="277"/>
      <c r="CH15" s="277"/>
      <c r="CI15" s="277"/>
      <c r="CJ15" s="277"/>
      <c r="CK15" s="277"/>
      <c r="CL15" s="286"/>
      <c r="CM15" s="286"/>
      <c r="CN15" s="277"/>
      <c r="CO15" s="277"/>
      <c r="CP15" s="277"/>
      <c r="CQ15" s="277"/>
      <c r="CR15" s="277"/>
      <c r="CS15" s="286"/>
      <c r="CT15" s="286"/>
      <c r="CU15" s="277"/>
      <c r="CV15" s="277"/>
      <c r="CW15" s="277"/>
      <c r="CX15" s="277"/>
      <c r="CY15" s="277"/>
      <c r="CZ15" s="286"/>
      <c r="DA15" s="286"/>
      <c r="DB15" s="277"/>
      <c r="DC15" s="277"/>
      <c r="DD15" s="277"/>
      <c r="DE15" s="277"/>
      <c r="DF15" s="277"/>
      <c r="DG15" s="286"/>
      <c r="DH15" s="286"/>
      <c r="DI15" s="277"/>
      <c r="DJ15" s="277"/>
      <c r="DK15" s="277"/>
      <c r="DL15" s="277"/>
      <c r="DM15" s="286"/>
      <c r="DN15" s="286"/>
      <c r="DO15" s="286"/>
      <c r="DP15" s="277"/>
      <c r="DQ15" s="277"/>
      <c r="DR15" s="277"/>
      <c r="DS15" s="277"/>
      <c r="DT15" s="277"/>
      <c r="DU15" s="286"/>
      <c r="DV15" s="286"/>
      <c r="DW15" s="277"/>
      <c r="DX15" s="277"/>
      <c r="DY15" s="277"/>
      <c r="DZ15" s="277"/>
      <c r="EA15" s="277"/>
      <c r="EB15" s="286"/>
      <c r="EC15" s="286"/>
      <c r="ED15" s="277"/>
      <c r="EE15" s="277"/>
      <c r="EF15" s="277"/>
      <c r="EG15" s="277"/>
      <c r="EH15" s="277"/>
      <c r="EI15" s="286"/>
      <c r="EJ15" s="286"/>
      <c r="EK15" s="277"/>
      <c r="EL15" s="277"/>
      <c r="EM15" s="277"/>
      <c r="EN15" s="277"/>
      <c r="EO15" s="277"/>
      <c r="EP15" s="286"/>
      <c r="EQ15" s="286"/>
      <c r="ER15" s="277"/>
      <c r="ES15" s="277"/>
      <c r="ET15" s="277"/>
      <c r="EU15" s="277"/>
      <c r="EV15" s="277"/>
      <c r="EW15" s="286"/>
      <c r="EX15" s="286"/>
      <c r="EY15" s="277"/>
      <c r="EZ15" s="277"/>
      <c r="FA15" s="277"/>
      <c r="FB15" s="277"/>
      <c r="FC15" s="277"/>
      <c r="FD15" s="286"/>
      <c r="FE15" s="286"/>
      <c r="FF15" s="277"/>
      <c r="FG15" s="277"/>
      <c r="FH15" s="277"/>
      <c r="FI15" s="277"/>
      <c r="FJ15" s="277"/>
      <c r="FK15" s="286"/>
      <c r="FL15" s="286"/>
      <c r="FM15" s="277"/>
      <c r="FN15" s="277"/>
      <c r="FO15" s="277"/>
      <c r="FP15" s="277"/>
      <c r="FQ15" s="277"/>
      <c r="FR15" s="286"/>
      <c r="FS15" s="286"/>
      <c r="FT15" s="277"/>
      <c r="FU15" s="277"/>
      <c r="FV15" s="287">
        <f t="shared" si="17"/>
        <v>0</v>
      </c>
      <c r="FX15" s="278">
        <f t="shared" si="13"/>
        <v>9</v>
      </c>
      <c r="FY15" s="288">
        <f t="shared" si="13"/>
        <v>0</v>
      </c>
      <c r="FZ15" s="278" t="s">
        <v>623</v>
      </c>
      <c r="GA15" s="278" t="s">
        <v>627</v>
      </c>
      <c r="GB15" s="278">
        <f t="shared" si="14"/>
        <v>0</v>
      </c>
      <c r="GC15" s="280">
        <f t="shared" si="15"/>
        <v>0</v>
      </c>
      <c r="GD15" s="289">
        <v>47</v>
      </c>
      <c r="GE15" s="278">
        <v>1.6</v>
      </c>
      <c r="GF15" s="282">
        <f t="shared" si="16"/>
        <v>0</v>
      </c>
    </row>
    <row r="16" spans="1:188" ht="27" hidden="1" customHeight="1" thickBot="1" x14ac:dyDescent="0.35">
      <c r="A16" s="270">
        <v>10</v>
      </c>
      <c r="B16" s="285"/>
      <c r="C16" s="271"/>
      <c r="D16" s="272"/>
      <c r="E16" s="272"/>
      <c r="F16" s="273"/>
      <c r="G16" s="273"/>
      <c r="H16" s="273"/>
      <c r="I16" s="274"/>
      <c r="J16" s="275"/>
      <c r="K16" s="275"/>
      <c r="L16" s="275"/>
      <c r="M16" s="276"/>
      <c r="N16" s="277"/>
      <c r="O16" s="277"/>
      <c r="P16" s="277"/>
      <c r="Q16" s="277"/>
      <c r="R16" s="277"/>
      <c r="S16" s="286"/>
      <c r="T16" s="286"/>
      <c r="U16" s="277"/>
      <c r="V16" s="277"/>
      <c r="W16" s="277"/>
      <c r="X16" s="277"/>
      <c r="Y16" s="277"/>
      <c r="Z16" s="286"/>
      <c r="AA16" s="286"/>
      <c r="AB16" s="277"/>
      <c r="AC16" s="277"/>
      <c r="AD16" s="277"/>
      <c r="AE16" s="277"/>
      <c r="AF16" s="277"/>
      <c r="AG16" s="286"/>
      <c r="AH16" s="286"/>
      <c r="AI16" s="277"/>
      <c r="AJ16" s="277"/>
      <c r="AK16" s="277"/>
      <c r="AL16" s="277"/>
      <c r="AM16" s="277"/>
      <c r="AN16" s="286"/>
      <c r="AO16" s="286"/>
      <c r="AP16" s="286"/>
      <c r="AQ16" s="277"/>
      <c r="AR16" s="277"/>
      <c r="AS16" s="277"/>
      <c r="AT16" s="277"/>
      <c r="AU16" s="277"/>
      <c r="AV16" s="286"/>
      <c r="AW16" s="286"/>
      <c r="AX16" s="277"/>
      <c r="AY16" s="277"/>
      <c r="AZ16" s="277"/>
      <c r="BA16" s="277"/>
      <c r="BB16" s="277"/>
      <c r="BC16" s="286"/>
      <c r="BD16" s="286"/>
      <c r="BE16" s="277"/>
      <c r="BF16" s="277"/>
      <c r="BG16" s="277"/>
      <c r="BH16" s="277"/>
      <c r="BI16" s="277"/>
      <c r="BJ16" s="286"/>
      <c r="BK16" s="286"/>
      <c r="BL16" s="277"/>
      <c r="BM16" s="277"/>
      <c r="BN16" s="277"/>
      <c r="BO16" s="277"/>
      <c r="BP16" s="277"/>
      <c r="BQ16" s="286"/>
      <c r="BR16" s="286"/>
      <c r="BS16" s="277"/>
      <c r="BT16" s="277"/>
      <c r="BU16" s="277"/>
      <c r="BV16" s="277"/>
      <c r="BW16" s="286"/>
      <c r="BX16" s="286"/>
      <c r="BY16" s="277"/>
      <c r="BZ16" s="277"/>
      <c r="CA16" s="277"/>
      <c r="CB16" s="277"/>
      <c r="CC16" s="277"/>
      <c r="CD16" s="286"/>
      <c r="CE16" s="286"/>
      <c r="CF16" s="286"/>
      <c r="CG16" s="277"/>
      <c r="CH16" s="277"/>
      <c r="CI16" s="277"/>
      <c r="CJ16" s="277"/>
      <c r="CK16" s="277"/>
      <c r="CL16" s="286"/>
      <c r="CM16" s="286"/>
      <c r="CN16" s="277"/>
      <c r="CO16" s="277"/>
      <c r="CP16" s="277"/>
      <c r="CQ16" s="277"/>
      <c r="CR16" s="277"/>
      <c r="CS16" s="286"/>
      <c r="CT16" s="286"/>
      <c r="CU16" s="277"/>
      <c r="CV16" s="277"/>
      <c r="CW16" s="277"/>
      <c r="CX16" s="277"/>
      <c r="CY16" s="277"/>
      <c r="CZ16" s="286"/>
      <c r="DA16" s="286"/>
      <c r="DB16" s="277"/>
      <c r="DC16" s="277"/>
      <c r="DD16" s="277"/>
      <c r="DE16" s="277"/>
      <c r="DF16" s="277"/>
      <c r="DG16" s="286"/>
      <c r="DH16" s="286"/>
      <c r="DI16" s="277"/>
      <c r="DJ16" s="277"/>
      <c r="DK16" s="277"/>
      <c r="DL16" s="277"/>
      <c r="DM16" s="286"/>
      <c r="DN16" s="286"/>
      <c r="DO16" s="286"/>
      <c r="DP16" s="277"/>
      <c r="DQ16" s="277"/>
      <c r="DR16" s="277"/>
      <c r="DS16" s="277"/>
      <c r="DT16" s="277"/>
      <c r="DU16" s="286"/>
      <c r="DV16" s="286"/>
      <c r="DW16" s="277"/>
      <c r="DX16" s="277"/>
      <c r="DY16" s="277"/>
      <c r="DZ16" s="277"/>
      <c r="EA16" s="277"/>
      <c r="EB16" s="286"/>
      <c r="EC16" s="286"/>
      <c r="ED16" s="277"/>
      <c r="EE16" s="277"/>
      <c r="EF16" s="277"/>
      <c r="EG16" s="277"/>
      <c r="EH16" s="277"/>
      <c r="EI16" s="286"/>
      <c r="EJ16" s="286"/>
      <c r="EK16" s="277"/>
      <c r="EL16" s="277"/>
      <c r="EM16" s="277"/>
      <c r="EN16" s="277"/>
      <c r="EO16" s="277"/>
      <c r="EP16" s="286"/>
      <c r="EQ16" s="286"/>
      <c r="ER16" s="277"/>
      <c r="ES16" s="277"/>
      <c r="ET16" s="277"/>
      <c r="EU16" s="277"/>
      <c r="EV16" s="277"/>
      <c r="EW16" s="286"/>
      <c r="EX16" s="286"/>
      <c r="EY16" s="277"/>
      <c r="EZ16" s="277"/>
      <c r="FA16" s="277"/>
      <c r="FB16" s="277"/>
      <c r="FC16" s="277"/>
      <c r="FD16" s="286"/>
      <c r="FE16" s="286"/>
      <c r="FF16" s="277"/>
      <c r="FG16" s="277"/>
      <c r="FH16" s="277"/>
      <c r="FI16" s="277"/>
      <c r="FJ16" s="277"/>
      <c r="FK16" s="286"/>
      <c r="FL16" s="286"/>
      <c r="FM16" s="277"/>
      <c r="FN16" s="277"/>
      <c r="FO16" s="277"/>
      <c r="FP16" s="277"/>
      <c r="FQ16" s="277"/>
      <c r="FR16" s="286"/>
      <c r="FS16" s="286"/>
      <c r="FT16" s="277"/>
      <c r="FU16" s="277"/>
      <c r="FV16" s="287">
        <f t="shared" si="17"/>
        <v>0</v>
      </c>
      <c r="FX16" s="278">
        <f t="shared" si="13"/>
        <v>10</v>
      </c>
      <c r="FY16" s="288">
        <f t="shared" si="13"/>
        <v>0</v>
      </c>
      <c r="FZ16" s="278" t="s">
        <v>623</v>
      </c>
      <c r="GA16" s="278" t="s">
        <v>627</v>
      </c>
      <c r="GB16" s="278">
        <f t="shared" si="14"/>
        <v>0</v>
      </c>
      <c r="GC16" s="280">
        <f t="shared" si="15"/>
        <v>0</v>
      </c>
      <c r="GD16" s="289">
        <v>47</v>
      </c>
      <c r="GE16" s="278">
        <v>1.6</v>
      </c>
      <c r="GF16" s="282">
        <f t="shared" si="16"/>
        <v>0</v>
      </c>
    </row>
    <row r="17" spans="1:188" ht="27" hidden="1" customHeight="1" x14ac:dyDescent="0.3">
      <c r="A17" s="270">
        <v>11</v>
      </c>
      <c r="B17" s="285"/>
      <c r="C17" s="271"/>
      <c r="D17" s="272"/>
      <c r="E17" s="272"/>
      <c r="F17" s="273"/>
      <c r="G17" s="273"/>
      <c r="H17" s="273"/>
      <c r="I17" s="274"/>
      <c r="J17" s="275"/>
      <c r="K17" s="275"/>
      <c r="L17" s="275"/>
      <c r="M17" s="276"/>
      <c r="N17" s="277"/>
      <c r="O17" s="277"/>
      <c r="P17" s="277"/>
      <c r="Q17" s="277"/>
      <c r="R17" s="277"/>
      <c r="S17" s="286"/>
      <c r="T17" s="286"/>
      <c r="U17" s="277"/>
      <c r="V17" s="277"/>
      <c r="W17" s="277"/>
      <c r="X17" s="277"/>
      <c r="Y17" s="277"/>
      <c r="Z17" s="286"/>
      <c r="AA17" s="286"/>
      <c r="AB17" s="277"/>
      <c r="AC17" s="277"/>
      <c r="AD17" s="277"/>
      <c r="AE17" s="277"/>
      <c r="AF17" s="277"/>
      <c r="AG17" s="286"/>
      <c r="AH17" s="286"/>
      <c r="AI17" s="277"/>
      <c r="AJ17" s="277"/>
      <c r="AK17" s="277"/>
      <c r="AL17" s="277"/>
      <c r="AM17" s="277"/>
      <c r="AN17" s="286"/>
      <c r="AO17" s="286"/>
      <c r="AP17" s="286"/>
      <c r="AQ17" s="277"/>
      <c r="AR17" s="277"/>
      <c r="AS17" s="277"/>
      <c r="AT17" s="277"/>
      <c r="AU17" s="277"/>
      <c r="AV17" s="286"/>
      <c r="AW17" s="286"/>
      <c r="AX17" s="277"/>
      <c r="AY17" s="277"/>
      <c r="AZ17" s="277"/>
      <c r="BA17" s="277"/>
      <c r="BB17" s="277"/>
      <c r="BC17" s="286"/>
      <c r="BD17" s="286"/>
      <c r="BE17" s="277"/>
      <c r="BF17" s="277"/>
      <c r="BG17" s="277"/>
      <c r="BH17" s="277"/>
      <c r="BI17" s="277"/>
      <c r="BJ17" s="286"/>
      <c r="BK17" s="286"/>
      <c r="BL17" s="277"/>
      <c r="BM17" s="277"/>
      <c r="BN17" s="277"/>
      <c r="BO17" s="277"/>
      <c r="BP17" s="277"/>
      <c r="BQ17" s="286"/>
      <c r="BR17" s="286"/>
      <c r="BS17" s="277"/>
      <c r="BT17" s="277"/>
      <c r="BU17" s="277"/>
      <c r="BV17" s="277"/>
      <c r="BW17" s="286"/>
      <c r="BX17" s="286"/>
      <c r="BY17" s="277"/>
      <c r="BZ17" s="277"/>
      <c r="CA17" s="277"/>
      <c r="CB17" s="277"/>
      <c r="CC17" s="277"/>
      <c r="CD17" s="286"/>
      <c r="CE17" s="286"/>
      <c r="CF17" s="286"/>
      <c r="CG17" s="277"/>
      <c r="CH17" s="277"/>
      <c r="CI17" s="277"/>
      <c r="CJ17" s="277"/>
      <c r="CK17" s="277"/>
      <c r="CL17" s="286"/>
      <c r="CM17" s="286"/>
      <c r="CN17" s="277"/>
      <c r="CO17" s="277"/>
      <c r="CP17" s="277"/>
      <c r="CQ17" s="277"/>
      <c r="CR17" s="277"/>
      <c r="CS17" s="286"/>
      <c r="CT17" s="286"/>
      <c r="CU17" s="277"/>
      <c r="CV17" s="277"/>
      <c r="CW17" s="277"/>
      <c r="CX17" s="277"/>
      <c r="CY17" s="277"/>
      <c r="CZ17" s="286"/>
      <c r="DA17" s="286"/>
      <c r="DB17" s="277"/>
      <c r="DC17" s="277"/>
      <c r="DD17" s="277"/>
      <c r="DE17" s="277"/>
      <c r="DF17" s="277"/>
      <c r="DG17" s="286"/>
      <c r="DH17" s="286"/>
      <c r="DI17" s="277"/>
      <c r="DJ17" s="277"/>
      <c r="DK17" s="277"/>
      <c r="DL17" s="277"/>
      <c r="DM17" s="286"/>
      <c r="DN17" s="286"/>
      <c r="DO17" s="286"/>
      <c r="DP17" s="277"/>
      <c r="DQ17" s="277"/>
      <c r="DR17" s="277"/>
      <c r="DS17" s="277"/>
      <c r="DT17" s="277"/>
      <c r="DU17" s="286"/>
      <c r="DV17" s="286"/>
      <c r="DW17" s="277"/>
      <c r="DX17" s="277"/>
      <c r="DY17" s="277"/>
      <c r="DZ17" s="277"/>
      <c r="EA17" s="277"/>
      <c r="EB17" s="286"/>
      <c r="EC17" s="286"/>
      <c r="ED17" s="277"/>
      <c r="EE17" s="277"/>
      <c r="EF17" s="277"/>
      <c r="EG17" s="277"/>
      <c r="EH17" s="277"/>
      <c r="EI17" s="286"/>
      <c r="EJ17" s="286"/>
      <c r="EK17" s="277"/>
      <c r="EL17" s="277"/>
      <c r="EM17" s="277"/>
      <c r="EN17" s="277"/>
      <c r="EO17" s="277"/>
      <c r="EP17" s="286"/>
      <c r="EQ17" s="286"/>
      <c r="ER17" s="277"/>
      <c r="ES17" s="277"/>
      <c r="ET17" s="277"/>
      <c r="EU17" s="277"/>
      <c r="EV17" s="277"/>
      <c r="EW17" s="286"/>
      <c r="EX17" s="286"/>
      <c r="EY17" s="277"/>
      <c r="EZ17" s="277"/>
      <c r="FA17" s="277"/>
      <c r="FB17" s="277"/>
      <c r="FC17" s="277"/>
      <c r="FD17" s="286"/>
      <c r="FE17" s="286"/>
      <c r="FF17" s="277"/>
      <c r="FG17" s="277"/>
      <c r="FH17" s="277"/>
      <c r="FI17" s="277"/>
      <c r="FJ17" s="277"/>
      <c r="FK17" s="286"/>
      <c r="FL17" s="286"/>
      <c r="FM17" s="277"/>
      <c r="FN17" s="277"/>
      <c r="FO17" s="277"/>
      <c r="FP17" s="277"/>
      <c r="FQ17" s="277"/>
      <c r="FR17" s="286"/>
      <c r="FS17" s="286"/>
      <c r="FT17" s="277"/>
      <c r="FU17" s="277"/>
      <c r="FV17" s="287">
        <f t="shared" si="17"/>
        <v>0</v>
      </c>
      <c r="FX17" s="278">
        <f t="shared" si="13"/>
        <v>11</v>
      </c>
      <c r="FY17" s="288">
        <f t="shared" si="13"/>
        <v>0</v>
      </c>
      <c r="FZ17" s="278" t="s">
        <v>623</v>
      </c>
      <c r="GA17" s="278" t="s">
        <v>627</v>
      </c>
      <c r="GB17" s="278">
        <f t="shared" si="14"/>
        <v>0</v>
      </c>
      <c r="GC17" s="280">
        <f t="shared" si="15"/>
        <v>0</v>
      </c>
      <c r="GD17" s="289">
        <v>47</v>
      </c>
      <c r="GE17" s="278">
        <v>1.6</v>
      </c>
      <c r="GF17" s="282">
        <f t="shared" si="16"/>
        <v>0</v>
      </c>
    </row>
    <row r="18" spans="1:188" ht="27" hidden="1" customHeight="1" x14ac:dyDescent="0.3">
      <c r="A18" s="270">
        <v>12</v>
      </c>
      <c r="B18" s="285"/>
      <c r="C18" s="271"/>
      <c r="D18" s="272"/>
      <c r="E18" s="272"/>
      <c r="F18" s="273"/>
      <c r="G18" s="273"/>
      <c r="H18" s="273"/>
      <c r="I18" s="274"/>
      <c r="J18" s="275"/>
      <c r="K18" s="275"/>
      <c r="L18" s="275"/>
      <c r="M18" s="276"/>
      <c r="N18" s="277"/>
      <c r="O18" s="277"/>
      <c r="P18" s="277"/>
      <c r="Q18" s="277"/>
      <c r="R18" s="277"/>
      <c r="S18" s="286"/>
      <c r="T18" s="286"/>
      <c r="U18" s="277"/>
      <c r="V18" s="277"/>
      <c r="W18" s="277"/>
      <c r="X18" s="277"/>
      <c r="Y18" s="277"/>
      <c r="Z18" s="286"/>
      <c r="AA18" s="286"/>
      <c r="AB18" s="277"/>
      <c r="AC18" s="277"/>
      <c r="AD18" s="277"/>
      <c r="AE18" s="277"/>
      <c r="AF18" s="277"/>
      <c r="AG18" s="286"/>
      <c r="AH18" s="286"/>
      <c r="AI18" s="277"/>
      <c r="AJ18" s="277"/>
      <c r="AK18" s="277"/>
      <c r="AL18" s="277"/>
      <c r="AM18" s="277"/>
      <c r="AN18" s="286"/>
      <c r="AO18" s="286"/>
      <c r="AP18" s="286"/>
      <c r="AQ18" s="277"/>
      <c r="AR18" s="277"/>
      <c r="AS18" s="277"/>
      <c r="AT18" s="277"/>
      <c r="AU18" s="277"/>
      <c r="AV18" s="286"/>
      <c r="AW18" s="286"/>
      <c r="AX18" s="277"/>
      <c r="AY18" s="277"/>
      <c r="AZ18" s="277"/>
      <c r="BA18" s="277"/>
      <c r="BB18" s="277"/>
      <c r="BC18" s="286"/>
      <c r="BD18" s="286"/>
      <c r="BE18" s="277"/>
      <c r="BF18" s="277"/>
      <c r="BG18" s="277"/>
      <c r="BH18" s="277"/>
      <c r="BI18" s="277"/>
      <c r="BJ18" s="286"/>
      <c r="BK18" s="286"/>
      <c r="BL18" s="277"/>
      <c r="BM18" s="277"/>
      <c r="BN18" s="277"/>
      <c r="BO18" s="277"/>
      <c r="BP18" s="277"/>
      <c r="BQ18" s="286"/>
      <c r="BR18" s="286"/>
      <c r="BS18" s="277"/>
      <c r="BT18" s="277"/>
      <c r="BU18" s="277"/>
      <c r="BV18" s="277"/>
      <c r="BW18" s="286"/>
      <c r="BX18" s="286"/>
      <c r="BY18" s="277"/>
      <c r="BZ18" s="277"/>
      <c r="CA18" s="277"/>
      <c r="CB18" s="277"/>
      <c r="CC18" s="277"/>
      <c r="CD18" s="286"/>
      <c r="CE18" s="286"/>
      <c r="CF18" s="286"/>
      <c r="CG18" s="277"/>
      <c r="CH18" s="277"/>
      <c r="CI18" s="277"/>
      <c r="CJ18" s="277"/>
      <c r="CK18" s="277"/>
      <c r="CL18" s="286"/>
      <c r="CM18" s="286"/>
      <c r="CN18" s="277"/>
      <c r="CO18" s="277"/>
      <c r="CP18" s="277"/>
      <c r="CQ18" s="277"/>
      <c r="CR18" s="277"/>
      <c r="CS18" s="286"/>
      <c r="CT18" s="286"/>
      <c r="CU18" s="277"/>
      <c r="CV18" s="277"/>
      <c r="CW18" s="277"/>
      <c r="CX18" s="277"/>
      <c r="CY18" s="277"/>
      <c r="CZ18" s="286"/>
      <c r="DA18" s="286"/>
      <c r="DB18" s="277"/>
      <c r="DC18" s="277"/>
      <c r="DD18" s="277"/>
      <c r="DE18" s="277"/>
      <c r="DF18" s="277"/>
      <c r="DG18" s="286"/>
      <c r="DH18" s="286"/>
      <c r="DI18" s="277"/>
      <c r="DJ18" s="277"/>
      <c r="DK18" s="277"/>
      <c r="DL18" s="277"/>
      <c r="DM18" s="286"/>
      <c r="DN18" s="286"/>
      <c r="DO18" s="286"/>
      <c r="DP18" s="277"/>
      <c r="DQ18" s="277"/>
      <c r="DR18" s="277"/>
      <c r="DS18" s="277"/>
      <c r="DT18" s="277"/>
      <c r="DU18" s="286"/>
      <c r="DV18" s="286"/>
      <c r="DW18" s="277"/>
      <c r="DX18" s="277"/>
      <c r="DY18" s="277"/>
      <c r="DZ18" s="277"/>
      <c r="EA18" s="277"/>
      <c r="EB18" s="286"/>
      <c r="EC18" s="286"/>
      <c r="ED18" s="277"/>
      <c r="EE18" s="277"/>
      <c r="EF18" s="277"/>
      <c r="EG18" s="277"/>
      <c r="EH18" s="277"/>
      <c r="EI18" s="286"/>
      <c r="EJ18" s="286"/>
      <c r="EK18" s="277"/>
      <c r="EL18" s="277"/>
      <c r="EM18" s="277"/>
      <c r="EN18" s="277"/>
      <c r="EO18" s="277"/>
      <c r="EP18" s="286"/>
      <c r="EQ18" s="286"/>
      <c r="ER18" s="277"/>
      <c r="ES18" s="277"/>
      <c r="ET18" s="277"/>
      <c r="EU18" s="277"/>
      <c r="EV18" s="277"/>
      <c r="EW18" s="286"/>
      <c r="EX18" s="286"/>
      <c r="EY18" s="277"/>
      <c r="EZ18" s="277"/>
      <c r="FA18" s="277"/>
      <c r="FB18" s="277"/>
      <c r="FC18" s="277"/>
      <c r="FD18" s="286"/>
      <c r="FE18" s="286"/>
      <c r="FF18" s="277"/>
      <c r="FG18" s="277"/>
      <c r="FH18" s="277"/>
      <c r="FI18" s="277"/>
      <c r="FJ18" s="277"/>
      <c r="FK18" s="286"/>
      <c r="FL18" s="286"/>
      <c r="FM18" s="277"/>
      <c r="FN18" s="277"/>
      <c r="FO18" s="277"/>
      <c r="FP18" s="277"/>
      <c r="FQ18" s="277"/>
      <c r="FR18" s="286"/>
      <c r="FS18" s="286"/>
      <c r="FT18" s="277"/>
      <c r="FU18" s="277"/>
      <c r="FV18" s="287">
        <f t="shared" si="17"/>
        <v>0</v>
      </c>
      <c r="FX18" s="278">
        <f t="shared" si="13"/>
        <v>12</v>
      </c>
      <c r="FY18" s="288">
        <f t="shared" si="13"/>
        <v>0</v>
      </c>
      <c r="FZ18" s="278" t="s">
        <v>623</v>
      </c>
      <c r="GA18" s="278" t="s">
        <v>627</v>
      </c>
      <c r="GB18" s="278">
        <f t="shared" si="14"/>
        <v>0</v>
      </c>
      <c r="GC18" s="280">
        <f t="shared" si="15"/>
        <v>0</v>
      </c>
      <c r="GD18" s="289">
        <v>47</v>
      </c>
      <c r="GE18" s="278">
        <v>1.6</v>
      </c>
      <c r="GF18" s="282">
        <f t="shared" si="16"/>
        <v>0</v>
      </c>
    </row>
    <row r="19" spans="1:188" ht="27" hidden="1" customHeight="1" x14ac:dyDescent="0.3">
      <c r="A19" s="270">
        <v>13</v>
      </c>
      <c r="B19" s="285"/>
      <c r="C19" s="271"/>
      <c r="D19" s="272"/>
      <c r="E19" s="272"/>
      <c r="F19" s="273"/>
      <c r="G19" s="273"/>
      <c r="H19" s="273"/>
      <c r="I19" s="274"/>
      <c r="J19" s="275"/>
      <c r="K19" s="275"/>
      <c r="L19" s="275"/>
      <c r="M19" s="276"/>
      <c r="N19" s="277"/>
      <c r="O19" s="277"/>
      <c r="P19" s="277"/>
      <c r="Q19" s="277"/>
      <c r="R19" s="277"/>
      <c r="S19" s="286"/>
      <c r="T19" s="286"/>
      <c r="U19" s="277"/>
      <c r="V19" s="277"/>
      <c r="W19" s="277"/>
      <c r="X19" s="277"/>
      <c r="Y19" s="277"/>
      <c r="Z19" s="286"/>
      <c r="AA19" s="286"/>
      <c r="AB19" s="277"/>
      <c r="AC19" s="277"/>
      <c r="AD19" s="277"/>
      <c r="AE19" s="277"/>
      <c r="AF19" s="277"/>
      <c r="AG19" s="286"/>
      <c r="AH19" s="286"/>
      <c r="AI19" s="277"/>
      <c r="AJ19" s="277"/>
      <c r="AK19" s="277"/>
      <c r="AL19" s="277"/>
      <c r="AM19" s="277"/>
      <c r="AN19" s="286"/>
      <c r="AO19" s="286"/>
      <c r="AP19" s="286"/>
      <c r="AQ19" s="277"/>
      <c r="AR19" s="277"/>
      <c r="AS19" s="277"/>
      <c r="AT19" s="277"/>
      <c r="AU19" s="277"/>
      <c r="AV19" s="286"/>
      <c r="AW19" s="286"/>
      <c r="AX19" s="277"/>
      <c r="AY19" s="277"/>
      <c r="AZ19" s="277"/>
      <c r="BA19" s="277"/>
      <c r="BB19" s="277"/>
      <c r="BC19" s="286"/>
      <c r="BD19" s="286"/>
      <c r="BE19" s="277"/>
      <c r="BF19" s="277"/>
      <c r="BG19" s="277"/>
      <c r="BH19" s="277"/>
      <c r="BI19" s="277"/>
      <c r="BJ19" s="286"/>
      <c r="BK19" s="286"/>
      <c r="BL19" s="277"/>
      <c r="BM19" s="277"/>
      <c r="BN19" s="277"/>
      <c r="BO19" s="277"/>
      <c r="BP19" s="277"/>
      <c r="BQ19" s="286"/>
      <c r="BR19" s="286"/>
      <c r="BS19" s="277"/>
      <c r="BT19" s="277"/>
      <c r="BU19" s="277"/>
      <c r="BV19" s="277"/>
      <c r="BW19" s="286"/>
      <c r="BX19" s="286"/>
      <c r="BY19" s="277"/>
      <c r="BZ19" s="277"/>
      <c r="CA19" s="277"/>
      <c r="CB19" s="277"/>
      <c r="CC19" s="277"/>
      <c r="CD19" s="286"/>
      <c r="CE19" s="286"/>
      <c r="CF19" s="286"/>
      <c r="CG19" s="277"/>
      <c r="CH19" s="277"/>
      <c r="CI19" s="277"/>
      <c r="CJ19" s="277"/>
      <c r="CK19" s="277"/>
      <c r="CL19" s="286"/>
      <c r="CM19" s="286"/>
      <c r="CN19" s="277"/>
      <c r="CO19" s="277"/>
      <c r="CP19" s="277"/>
      <c r="CQ19" s="277"/>
      <c r="CR19" s="277"/>
      <c r="CS19" s="286"/>
      <c r="CT19" s="286"/>
      <c r="CU19" s="277"/>
      <c r="CV19" s="277"/>
      <c r="CW19" s="277"/>
      <c r="CX19" s="277"/>
      <c r="CY19" s="277"/>
      <c r="CZ19" s="286"/>
      <c r="DA19" s="286"/>
      <c r="DB19" s="277"/>
      <c r="DC19" s="277"/>
      <c r="DD19" s="277"/>
      <c r="DE19" s="277"/>
      <c r="DF19" s="277"/>
      <c r="DG19" s="286"/>
      <c r="DH19" s="286"/>
      <c r="DI19" s="277"/>
      <c r="DJ19" s="277"/>
      <c r="DK19" s="277"/>
      <c r="DL19" s="277"/>
      <c r="DM19" s="286"/>
      <c r="DN19" s="286"/>
      <c r="DO19" s="286"/>
      <c r="DP19" s="277"/>
      <c r="DQ19" s="277"/>
      <c r="DR19" s="277"/>
      <c r="DS19" s="277"/>
      <c r="DT19" s="277"/>
      <c r="DU19" s="286"/>
      <c r="DV19" s="286"/>
      <c r="DW19" s="277"/>
      <c r="DX19" s="277"/>
      <c r="DY19" s="277"/>
      <c r="DZ19" s="277"/>
      <c r="EA19" s="277"/>
      <c r="EB19" s="286"/>
      <c r="EC19" s="286"/>
      <c r="ED19" s="277"/>
      <c r="EE19" s="277"/>
      <c r="EF19" s="277"/>
      <c r="EG19" s="277"/>
      <c r="EH19" s="277"/>
      <c r="EI19" s="286"/>
      <c r="EJ19" s="286"/>
      <c r="EK19" s="277"/>
      <c r="EL19" s="277"/>
      <c r="EM19" s="277"/>
      <c r="EN19" s="277"/>
      <c r="EO19" s="277"/>
      <c r="EP19" s="286"/>
      <c r="EQ19" s="286"/>
      <c r="ER19" s="277"/>
      <c r="ES19" s="277"/>
      <c r="ET19" s="277"/>
      <c r="EU19" s="277"/>
      <c r="EV19" s="277"/>
      <c r="EW19" s="286"/>
      <c r="EX19" s="286"/>
      <c r="EY19" s="277"/>
      <c r="EZ19" s="277"/>
      <c r="FA19" s="277"/>
      <c r="FB19" s="277"/>
      <c r="FC19" s="277"/>
      <c r="FD19" s="286"/>
      <c r="FE19" s="286"/>
      <c r="FF19" s="277"/>
      <c r="FG19" s="277"/>
      <c r="FH19" s="277"/>
      <c r="FI19" s="277"/>
      <c r="FJ19" s="277"/>
      <c r="FK19" s="286"/>
      <c r="FL19" s="286"/>
      <c r="FM19" s="277"/>
      <c r="FN19" s="277"/>
      <c r="FO19" s="277"/>
      <c r="FP19" s="277"/>
      <c r="FQ19" s="277"/>
      <c r="FR19" s="286"/>
      <c r="FS19" s="286"/>
      <c r="FT19" s="277"/>
      <c r="FU19" s="277"/>
      <c r="FV19" s="287">
        <f t="shared" si="17"/>
        <v>0</v>
      </c>
      <c r="FX19" s="278">
        <f t="shared" si="13"/>
        <v>13</v>
      </c>
      <c r="FY19" s="288">
        <f t="shared" si="13"/>
        <v>0</v>
      </c>
      <c r="FZ19" s="278" t="s">
        <v>623</v>
      </c>
      <c r="GA19" s="278" t="s">
        <v>627</v>
      </c>
      <c r="GB19" s="278">
        <f t="shared" si="14"/>
        <v>0</v>
      </c>
      <c r="GC19" s="280">
        <f t="shared" si="15"/>
        <v>0</v>
      </c>
      <c r="GD19" s="289">
        <v>47</v>
      </c>
      <c r="GE19" s="278">
        <v>1.6</v>
      </c>
      <c r="GF19" s="282">
        <f t="shared" si="16"/>
        <v>0</v>
      </c>
    </row>
    <row r="20" spans="1:188" ht="27" hidden="1" customHeight="1" x14ac:dyDescent="0.3">
      <c r="A20" s="270">
        <v>14</v>
      </c>
      <c r="B20" s="285"/>
      <c r="C20" s="271"/>
      <c r="D20" s="272"/>
      <c r="E20" s="272"/>
      <c r="F20" s="273"/>
      <c r="G20" s="273"/>
      <c r="H20" s="273"/>
      <c r="I20" s="274"/>
      <c r="J20" s="275"/>
      <c r="K20" s="275"/>
      <c r="L20" s="275"/>
      <c r="M20" s="276"/>
      <c r="N20" s="277"/>
      <c r="O20" s="277"/>
      <c r="P20" s="277"/>
      <c r="Q20" s="277"/>
      <c r="R20" s="277"/>
      <c r="S20" s="286"/>
      <c r="T20" s="286"/>
      <c r="U20" s="277"/>
      <c r="V20" s="277"/>
      <c r="W20" s="277"/>
      <c r="X20" s="277"/>
      <c r="Y20" s="277"/>
      <c r="Z20" s="286"/>
      <c r="AA20" s="286"/>
      <c r="AB20" s="277"/>
      <c r="AC20" s="277"/>
      <c r="AD20" s="277"/>
      <c r="AE20" s="277"/>
      <c r="AF20" s="277"/>
      <c r="AG20" s="286"/>
      <c r="AH20" s="286"/>
      <c r="AI20" s="277"/>
      <c r="AJ20" s="277"/>
      <c r="AK20" s="277"/>
      <c r="AL20" s="277"/>
      <c r="AM20" s="277"/>
      <c r="AN20" s="286"/>
      <c r="AO20" s="286"/>
      <c r="AP20" s="286"/>
      <c r="AQ20" s="277"/>
      <c r="AR20" s="277"/>
      <c r="AS20" s="277"/>
      <c r="AT20" s="277"/>
      <c r="AU20" s="277"/>
      <c r="AV20" s="286"/>
      <c r="AW20" s="286"/>
      <c r="AX20" s="277"/>
      <c r="AY20" s="277"/>
      <c r="AZ20" s="277"/>
      <c r="BA20" s="277"/>
      <c r="BB20" s="277"/>
      <c r="BC20" s="286"/>
      <c r="BD20" s="286"/>
      <c r="BE20" s="277"/>
      <c r="BF20" s="277"/>
      <c r="BG20" s="277"/>
      <c r="BH20" s="277"/>
      <c r="BI20" s="277"/>
      <c r="BJ20" s="286"/>
      <c r="BK20" s="286"/>
      <c r="BL20" s="277"/>
      <c r="BM20" s="277"/>
      <c r="BN20" s="277"/>
      <c r="BO20" s="277"/>
      <c r="BP20" s="277"/>
      <c r="BQ20" s="286"/>
      <c r="BR20" s="286"/>
      <c r="BS20" s="277"/>
      <c r="BT20" s="277"/>
      <c r="BU20" s="277"/>
      <c r="BV20" s="277"/>
      <c r="BW20" s="286"/>
      <c r="BX20" s="286"/>
      <c r="BY20" s="277"/>
      <c r="BZ20" s="277"/>
      <c r="CA20" s="277"/>
      <c r="CB20" s="277"/>
      <c r="CC20" s="277"/>
      <c r="CD20" s="286"/>
      <c r="CE20" s="286"/>
      <c r="CF20" s="286"/>
      <c r="CG20" s="277"/>
      <c r="CH20" s="277"/>
      <c r="CI20" s="277"/>
      <c r="CJ20" s="277"/>
      <c r="CK20" s="277"/>
      <c r="CL20" s="286"/>
      <c r="CM20" s="286"/>
      <c r="CN20" s="277"/>
      <c r="CO20" s="277"/>
      <c r="CP20" s="277"/>
      <c r="CQ20" s="277"/>
      <c r="CR20" s="277"/>
      <c r="CS20" s="286"/>
      <c r="CT20" s="286"/>
      <c r="CU20" s="277"/>
      <c r="CV20" s="277"/>
      <c r="CW20" s="277"/>
      <c r="CX20" s="277"/>
      <c r="CY20" s="277"/>
      <c r="CZ20" s="286"/>
      <c r="DA20" s="286"/>
      <c r="DB20" s="277"/>
      <c r="DC20" s="277"/>
      <c r="DD20" s="277"/>
      <c r="DE20" s="277"/>
      <c r="DF20" s="277"/>
      <c r="DG20" s="286"/>
      <c r="DH20" s="286"/>
      <c r="DI20" s="277"/>
      <c r="DJ20" s="277"/>
      <c r="DK20" s="277"/>
      <c r="DL20" s="277"/>
      <c r="DM20" s="286"/>
      <c r="DN20" s="286"/>
      <c r="DO20" s="286"/>
      <c r="DP20" s="277"/>
      <c r="DQ20" s="277"/>
      <c r="DR20" s="277"/>
      <c r="DS20" s="277"/>
      <c r="DT20" s="277"/>
      <c r="DU20" s="286"/>
      <c r="DV20" s="286"/>
      <c r="DW20" s="277"/>
      <c r="DX20" s="277"/>
      <c r="DY20" s="277"/>
      <c r="DZ20" s="277"/>
      <c r="EA20" s="277"/>
      <c r="EB20" s="286"/>
      <c r="EC20" s="286"/>
      <c r="ED20" s="277"/>
      <c r="EE20" s="277"/>
      <c r="EF20" s="277"/>
      <c r="EG20" s="277"/>
      <c r="EH20" s="277"/>
      <c r="EI20" s="286"/>
      <c r="EJ20" s="286"/>
      <c r="EK20" s="277"/>
      <c r="EL20" s="277"/>
      <c r="EM20" s="277"/>
      <c r="EN20" s="277"/>
      <c r="EO20" s="277"/>
      <c r="EP20" s="286"/>
      <c r="EQ20" s="286"/>
      <c r="ER20" s="277"/>
      <c r="ES20" s="277"/>
      <c r="ET20" s="277"/>
      <c r="EU20" s="277"/>
      <c r="EV20" s="277"/>
      <c r="EW20" s="286"/>
      <c r="EX20" s="286"/>
      <c r="EY20" s="277"/>
      <c r="EZ20" s="277"/>
      <c r="FA20" s="277"/>
      <c r="FB20" s="277"/>
      <c r="FC20" s="277"/>
      <c r="FD20" s="286"/>
      <c r="FE20" s="286"/>
      <c r="FF20" s="277"/>
      <c r="FG20" s="277"/>
      <c r="FH20" s="277"/>
      <c r="FI20" s="277"/>
      <c r="FJ20" s="277"/>
      <c r="FK20" s="286"/>
      <c r="FL20" s="286"/>
      <c r="FM20" s="277"/>
      <c r="FN20" s="277"/>
      <c r="FO20" s="277"/>
      <c r="FP20" s="277"/>
      <c r="FQ20" s="277"/>
      <c r="FR20" s="286"/>
      <c r="FS20" s="286"/>
      <c r="FT20" s="277"/>
      <c r="FU20" s="277"/>
      <c r="FV20" s="287">
        <f t="shared" si="17"/>
        <v>0</v>
      </c>
      <c r="FX20" s="278">
        <f t="shared" si="13"/>
        <v>14</v>
      </c>
      <c r="FY20" s="288">
        <f t="shared" si="13"/>
        <v>0</v>
      </c>
      <c r="FZ20" s="278" t="s">
        <v>623</v>
      </c>
      <c r="GA20" s="278" t="s">
        <v>627</v>
      </c>
      <c r="GB20" s="278">
        <f t="shared" si="14"/>
        <v>0</v>
      </c>
      <c r="GC20" s="280">
        <f t="shared" si="15"/>
        <v>0</v>
      </c>
      <c r="GD20" s="289">
        <v>47</v>
      </c>
      <c r="GE20" s="278">
        <v>1.6</v>
      </c>
      <c r="GF20" s="282">
        <f t="shared" si="16"/>
        <v>0</v>
      </c>
    </row>
    <row r="21" spans="1:188" ht="27" hidden="1" customHeight="1" x14ac:dyDescent="0.3">
      <c r="A21" s="270">
        <v>15</v>
      </c>
      <c r="B21" s="285"/>
      <c r="C21" s="272"/>
      <c r="D21" s="272"/>
      <c r="E21" s="272"/>
      <c r="F21" s="273"/>
      <c r="G21" s="273"/>
      <c r="H21" s="273"/>
      <c r="I21" s="274"/>
      <c r="J21" s="275"/>
      <c r="K21" s="275"/>
      <c r="L21" s="275"/>
      <c r="M21" s="276"/>
      <c r="N21" s="277"/>
      <c r="O21" s="277"/>
      <c r="P21" s="277"/>
      <c r="Q21" s="277"/>
      <c r="R21" s="277"/>
      <c r="S21" s="286"/>
      <c r="T21" s="286"/>
      <c r="U21" s="277"/>
      <c r="V21" s="277"/>
      <c r="W21" s="277"/>
      <c r="X21" s="277"/>
      <c r="Y21" s="277"/>
      <c r="Z21" s="286"/>
      <c r="AA21" s="286"/>
      <c r="AB21" s="277"/>
      <c r="AC21" s="277"/>
      <c r="AD21" s="277"/>
      <c r="AE21" s="277"/>
      <c r="AF21" s="277"/>
      <c r="AG21" s="286"/>
      <c r="AH21" s="286"/>
      <c r="AI21" s="277"/>
      <c r="AJ21" s="277"/>
      <c r="AK21" s="277"/>
      <c r="AL21" s="277"/>
      <c r="AM21" s="277"/>
      <c r="AN21" s="286"/>
      <c r="AO21" s="286"/>
      <c r="AP21" s="286"/>
      <c r="AQ21" s="277"/>
      <c r="AR21" s="277"/>
      <c r="AS21" s="277"/>
      <c r="AT21" s="277"/>
      <c r="AU21" s="277"/>
      <c r="AV21" s="286"/>
      <c r="AW21" s="286"/>
      <c r="AX21" s="277"/>
      <c r="AY21" s="277"/>
      <c r="AZ21" s="277"/>
      <c r="BA21" s="277"/>
      <c r="BB21" s="277"/>
      <c r="BC21" s="286"/>
      <c r="BD21" s="286"/>
      <c r="BE21" s="277"/>
      <c r="BF21" s="277"/>
      <c r="BG21" s="277"/>
      <c r="BH21" s="277"/>
      <c r="BI21" s="277"/>
      <c r="BJ21" s="286"/>
      <c r="BK21" s="286"/>
      <c r="BL21" s="277"/>
      <c r="BM21" s="277"/>
      <c r="BN21" s="277"/>
      <c r="BO21" s="277"/>
      <c r="BP21" s="277"/>
      <c r="BQ21" s="286"/>
      <c r="BR21" s="286"/>
      <c r="BS21" s="277"/>
      <c r="BT21" s="277"/>
      <c r="BU21" s="277"/>
      <c r="BV21" s="277"/>
      <c r="BW21" s="286"/>
      <c r="BX21" s="286"/>
      <c r="BY21" s="277"/>
      <c r="BZ21" s="277"/>
      <c r="CA21" s="277"/>
      <c r="CB21" s="277"/>
      <c r="CC21" s="277"/>
      <c r="CD21" s="286"/>
      <c r="CE21" s="286"/>
      <c r="CF21" s="286"/>
      <c r="CG21" s="277"/>
      <c r="CH21" s="277"/>
      <c r="CI21" s="277"/>
      <c r="CJ21" s="277"/>
      <c r="CK21" s="277"/>
      <c r="CL21" s="286"/>
      <c r="CM21" s="286"/>
      <c r="CN21" s="277"/>
      <c r="CO21" s="277"/>
      <c r="CP21" s="277"/>
      <c r="CQ21" s="277"/>
      <c r="CR21" s="277"/>
      <c r="CS21" s="286"/>
      <c r="CT21" s="286"/>
      <c r="CU21" s="277"/>
      <c r="CV21" s="277"/>
      <c r="CW21" s="277"/>
      <c r="CX21" s="277"/>
      <c r="CY21" s="277"/>
      <c r="CZ21" s="286"/>
      <c r="DA21" s="286"/>
      <c r="DB21" s="277"/>
      <c r="DC21" s="277"/>
      <c r="DD21" s="277"/>
      <c r="DE21" s="277"/>
      <c r="DF21" s="277"/>
      <c r="DG21" s="286"/>
      <c r="DH21" s="286"/>
      <c r="DI21" s="277"/>
      <c r="DJ21" s="277"/>
      <c r="DK21" s="277"/>
      <c r="DL21" s="277"/>
      <c r="DM21" s="286"/>
      <c r="DN21" s="286"/>
      <c r="DO21" s="286"/>
      <c r="DP21" s="277"/>
      <c r="DQ21" s="277"/>
      <c r="DR21" s="277"/>
      <c r="DS21" s="277"/>
      <c r="DT21" s="277"/>
      <c r="DU21" s="286"/>
      <c r="DV21" s="286"/>
      <c r="DW21" s="277"/>
      <c r="DX21" s="277"/>
      <c r="DY21" s="277"/>
      <c r="DZ21" s="277"/>
      <c r="EA21" s="277"/>
      <c r="EB21" s="286"/>
      <c r="EC21" s="286"/>
      <c r="ED21" s="277"/>
      <c r="EE21" s="277"/>
      <c r="EF21" s="277"/>
      <c r="EG21" s="277"/>
      <c r="EH21" s="277"/>
      <c r="EI21" s="286"/>
      <c r="EJ21" s="286"/>
      <c r="EK21" s="277"/>
      <c r="EL21" s="277"/>
      <c r="EM21" s="277"/>
      <c r="EN21" s="277"/>
      <c r="EO21" s="277"/>
      <c r="EP21" s="286"/>
      <c r="EQ21" s="286"/>
      <c r="ER21" s="277"/>
      <c r="ES21" s="277"/>
      <c r="ET21" s="277"/>
      <c r="EU21" s="277"/>
      <c r="EV21" s="277"/>
      <c r="EW21" s="286"/>
      <c r="EX21" s="286"/>
      <c r="EY21" s="277"/>
      <c r="EZ21" s="277"/>
      <c r="FA21" s="277"/>
      <c r="FB21" s="277"/>
      <c r="FC21" s="277"/>
      <c r="FD21" s="286"/>
      <c r="FE21" s="286"/>
      <c r="FF21" s="277"/>
      <c r="FG21" s="277"/>
      <c r="FH21" s="277"/>
      <c r="FI21" s="277"/>
      <c r="FJ21" s="277"/>
      <c r="FK21" s="286"/>
      <c r="FL21" s="286"/>
      <c r="FM21" s="277"/>
      <c r="FN21" s="277"/>
      <c r="FO21" s="277"/>
      <c r="FP21" s="277"/>
      <c r="FQ21" s="277"/>
      <c r="FR21" s="286"/>
      <c r="FS21" s="286"/>
      <c r="FT21" s="277"/>
      <c r="FU21" s="277"/>
      <c r="FV21" s="287">
        <f t="shared" si="17"/>
        <v>0</v>
      </c>
      <c r="FX21" s="278">
        <f t="shared" si="13"/>
        <v>15</v>
      </c>
      <c r="FY21" s="278">
        <f t="shared" si="13"/>
        <v>0</v>
      </c>
      <c r="FZ21" s="278" t="s">
        <v>623</v>
      </c>
      <c r="GA21" s="278" t="s">
        <v>627</v>
      </c>
      <c r="GB21" s="278">
        <f t="shared" si="14"/>
        <v>0</v>
      </c>
      <c r="GC21" s="280">
        <f t="shared" si="15"/>
        <v>0</v>
      </c>
      <c r="GD21" s="289">
        <v>47</v>
      </c>
      <c r="GE21" s="278">
        <v>1.6</v>
      </c>
      <c r="GF21" s="282">
        <f t="shared" si="16"/>
        <v>0</v>
      </c>
    </row>
    <row r="22" spans="1:188" ht="27" hidden="1" customHeight="1" x14ac:dyDescent="0.3">
      <c r="A22" s="270">
        <v>16</v>
      </c>
      <c r="B22" s="285"/>
      <c r="C22" s="272"/>
      <c r="D22" s="272"/>
      <c r="E22" s="272"/>
      <c r="F22" s="273"/>
      <c r="G22" s="273"/>
      <c r="H22" s="273"/>
      <c r="I22" s="274"/>
      <c r="J22" s="275"/>
      <c r="K22" s="275"/>
      <c r="L22" s="275"/>
      <c r="M22" s="276"/>
      <c r="N22" s="277"/>
      <c r="O22" s="277"/>
      <c r="P22" s="277"/>
      <c r="Q22" s="277"/>
      <c r="R22" s="277"/>
      <c r="S22" s="286"/>
      <c r="T22" s="286"/>
      <c r="U22" s="277"/>
      <c r="V22" s="277"/>
      <c r="W22" s="277"/>
      <c r="X22" s="277"/>
      <c r="Y22" s="277"/>
      <c r="Z22" s="286"/>
      <c r="AA22" s="286"/>
      <c r="AB22" s="277"/>
      <c r="AC22" s="277"/>
      <c r="AD22" s="277"/>
      <c r="AE22" s="277"/>
      <c r="AF22" s="277"/>
      <c r="AG22" s="286"/>
      <c r="AH22" s="286"/>
      <c r="AI22" s="277"/>
      <c r="AJ22" s="277"/>
      <c r="AK22" s="277"/>
      <c r="AL22" s="277"/>
      <c r="AM22" s="277"/>
      <c r="AN22" s="286"/>
      <c r="AO22" s="286"/>
      <c r="AP22" s="286"/>
      <c r="AQ22" s="277"/>
      <c r="AR22" s="277"/>
      <c r="AS22" s="277"/>
      <c r="AT22" s="277"/>
      <c r="AU22" s="277"/>
      <c r="AV22" s="286"/>
      <c r="AW22" s="286"/>
      <c r="AX22" s="277"/>
      <c r="AY22" s="277"/>
      <c r="AZ22" s="277"/>
      <c r="BA22" s="277"/>
      <c r="BB22" s="277"/>
      <c r="BC22" s="286"/>
      <c r="BD22" s="286"/>
      <c r="BE22" s="277"/>
      <c r="BF22" s="277"/>
      <c r="BG22" s="277"/>
      <c r="BH22" s="277"/>
      <c r="BI22" s="277"/>
      <c r="BJ22" s="286"/>
      <c r="BK22" s="286"/>
      <c r="BL22" s="277"/>
      <c r="BM22" s="277"/>
      <c r="BN22" s="277"/>
      <c r="BO22" s="277"/>
      <c r="BP22" s="277"/>
      <c r="BQ22" s="286"/>
      <c r="BR22" s="286"/>
      <c r="BS22" s="277"/>
      <c r="BT22" s="277"/>
      <c r="BU22" s="277"/>
      <c r="BV22" s="277"/>
      <c r="BW22" s="286"/>
      <c r="BX22" s="286"/>
      <c r="BY22" s="277"/>
      <c r="BZ22" s="277"/>
      <c r="CA22" s="277"/>
      <c r="CB22" s="277"/>
      <c r="CC22" s="277"/>
      <c r="CD22" s="286"/>
      <c r="CE22" s="286"/>
      <c r="CF22" s="286"/>
      <c r="CG22" s="277"/>
      <c r="CH22" s="277"/>
      <c r="CI22" s="277"/>
      <c r="CJ22" s="277"/>
      <c r="CK22" s="277"/>
      <c r="CL22" s="286"/>
      <c r="CM22" s="286"/>
      <c r="CN22" s="277"/>
      <c r="CO22" s="277"/>
      <c r="CP22" s="277"/>
      <c r="CQ22" s="277"/>
      <c r="CR22" s="277"/>
      <c r="CS22" s="286"/>
      <c r="CT22" s="286"/>
      <c r="CU22" s="277"/>
      <c r="CV22" s="277"/>
      <c r="CW22" s="277"/>
      <c r="CX22" s="277"/>
      <c r="CY22" s="277"/>
      <c r="CZ22" s="286"/>
      <c r="DA22" s="286"/>
      <c r="DB22" s="277"/>
      <c r="DC22" s="277"/>
      <c r="DD22" s="277"/>
      <c r="DE22" s="277"/>
      <c r="DF22" s="277"/>
      <c r="DG22" s="286"/>
      <c r="DH22" s="286"/>
      <c r="DI22" s="277"/>
      <c r="DJ22" s="277"/>
      <c r="DK22" s="277"/>
      <c r="DL22" s="277"/>
      <c r="DM22" s="286"/>
      <c r="DN22" s="286"/>
      <c r="DO22" s="286"/>
      <c r="DP22" s="277"/>
      <c r="DQ22" s="277"/>
      <c r="DR22" s="277"/>
      <c r="DS22" s="277"/>
      <c r="DT22" s="277"/>
      <c r="DU22" s="286"/>
      <c r="DV22" s="286"/>
      <c r="DW22" s="277"/>
      <c r="DX22" s="277"/>
      <c r="DY22" s="277"/>
      <c r="DZ22" s="277"/>
      <c r="EA22" s="277"/>
      <c r="EB22" s="286"/>
      <c r="EC22" s="286"/>
      <c r="ED22" s="277"/>
      <c r="EE22" s="277"/>
      <c r="EF22" s="277"/>
      <c r="EG22" s="277"/>
      <c r="EH22" s="277"/>
      <c r="EI22" s="286"/>
      <c r="EJ22" s="286"/>
      <c r="EK22" s="277"/>
      <c r="EL22" s="277"/>
      <c r="EM22" s="277"/>
      <c r="EN22" s="277"/>
      <c r="EO22" s="277"/>
      <c r="EP22" s="286"/>
      <c r="EQ22" s="286"/>
      <c r="ER22" s="277"/>
      <c r="ES22" s="277"/>
      <c r="ET22" s="277"/>
      <c r="EU22" s="277"/>
      <c r="EV22" s="277"/>
      <c r="EW22" s="286"/>
      <c r="EX22" s="286"/>
      <c r="EY22" s="277"/>
      <c r="EZ22" s="277"/>
      <c r="FA22" s="277"/>
      <c r="FB22" s="277"/>
      <c r="FC22" s="277"/>
      <c r="FD22" s="286"/>
      <c r="FE22" s="286"/>
      <c r="FF22" s="277"/>
      <c r="FG22" s="277"/>
      <c r="FH22" s="277"/>
      <c r="FI22" s="277"/>
      <c r="FJ22" s="277"/>
      <c r="FK22" s="286"/>
      <c r="FL22" s="286"/>
      <c r="FM22" s="277"/>
      <c r="FN22" s="277"/>
      <c r="FO22" s="277"/>
      <c r="FP22" s="277"/>
      <c r="FQ22" s="277"/>
      <c r="FR22" s="286"/>
      <c r="FS22" s="286"/>
      <c r="FT22" s="277"/>
      <c r="FU22" s="277"/>
      <c r="FV22" s="287">
        <f t="shared" si="17"/>
        <v>0</v>
      </c>
      <c r="FX22" s="278">
        <f t="shared" si="13"/>
        <v>16</v>
      </c>
      <c r="FY22" s="278">
        <f t="shared" si="13"/>
        <v>0</v>
      </c>
      <c r="FZ22" s="278" t="s">
        <v>623</v>
      </c>
      <c r="GA22" s="278" t="s">
        <v>627</v>
      </c>
      <c r="GB22" s="278">
        <f t="shared" si="14"/>
        <v>0</v>
      </c>
      <c r="GC22" s="280">
        <f t="shared" si="15"/>
        <v>0</v>
      </c>
      <c r="GD22" s="289">
        <v>47</v>
      </c>
      <c r="GE22" s="278">
        <v>1.6</v>
      </c>
      <c r="GF22" s="282">
        <f t="shared" si="16"/>
        <v>0</v>
      </c>
    </row>
    <row r="23" spans="1:188" ht="27" hidden="1" customHeight="1" x14ac:dyDescent="0.3">
      <c r="A23" s="270">
        <v>17</v>
      </c>
      <c r="B23" s="285"/>
      <c r="C23" s="272"/>
      <c r="D23" s="272"/>
      <c r="E23" s="272"/>
      <c r="F23" s="273"/>
      <c r="G23" s="273"/>
      <c r="H23" s="273"/>
      <c r="I23" s="274"/>
      <c r="J23" s="275"/>
      <c r="K23" s="275"/>
      <c r="L23" s="275"/>
      <c r="M23" s="276"/>
      <c r="N23" s="277"/>
      <c r="O23" s="277"/>
      <c r="P23" s="277"/>
      <c r="Q23" s="277"/>
      <c r="R23" s="277"/>
      <c r="S23" s="286"/>
      <c r="T23" s="286"/>
      <c r="U23" s="277"/>
      <c r="V23" s="277"/>
      <c r="W23" s="277"/>
      <c r="X23" s="277"/>
      <c r="Y23" s="277"/>
      <c r="Z23" s="286"/>
      <c r="AA23" s="286"/>
      <c r="AB23" s="277"/>
      <c r="AC23" s="277"/>
      <c r="AD23" s="277"/>
      <c r="AE23" s="277"/>
      <c r="AF23" s="277"/>
      <c r="AG23" s="286"/>
      <c r="AH23" s="286"/>
      <c r="AI23" s="277"/>
      <c r="AJ23" s="277"/>
      <c r="AK23" s="277"/>
      <c r="AL23" s="277"/>
      <c r="AM23" s="277"/>
      <c r="AN23" s="286"/>
      <c r="AO23" s="286"/>
      <c r="AP23" s="286"/>
      <c r="AQ23" s="277"/>
      <c r="AR23" s="277"/>
      <c r="AS23" s="277"/>
      <c r="AT23" s="277"/>
      <c r="AU23" s="277"/>
      <c r="AV23" s="286"/>
      <c r="AW23" s="286"/>
      <c r="AX23" s="277"/>
      <c r="AY23" s="277"/>
      <c r="AZ23" s="277"/>
      <c r="BA23" s="277"/>
      <c r="BB23" s="277"/>
      <c r="BC23" s="286"/>
      <c r="BD23" s="286"/>
      <c r="BE23" s="277"/>
      <c r="BF23" s="277"/>
      <c r="BG23" s="277"/>
      <c r="BH23" s="277"/>
      <c r="BI23" s="277"/>
      <c r="BJ23" s="286"/>
      <c r="BK23" s="286"/>
      <c r="BL23" s="277"/>
      <c r="BM23" s="277"/>
      <c r="BN23" s="277"/>
      <c r="BO23" s="277"/>
      <c r="BP23" s="277"/>
      <c r="BQ23" s="286"/>
      <c r="BR23" s="286"/>
      <c r="BS23" s="277"/>
      <c r="BT23" s="277"/>
      <c r="BU23" s="277"/>
      <c r="BV23" s="277"/>
      <c r="BW23" s="286"/>
      <c r="BX23" s="286"/>
      <c r="BY23" s="277"/>
      <c r="BZ23" s="277"/>
      <c r="CA23" s="277"/>
      <c r="CB23" s="277"/>
      <c r="CC23" s="277"/>
      <c r="CD23" s="286"/>
      <c r="CE23" s="286"/>
      <c r="CF23" s="286"/>
      <c r="CG23" s="277"/>
      <c r="CH23" s="277"/>
      <c r="CI23" s="277"/>
      <c r="CJ23" s="277"/>
      <c r="CK23" s="277"/>
      <c r="CL23" s="286"/>
      <c r="CM23" s="286"/>
      <c r="CN23" s="277"/>
      <c r="CO23" s="277"/>
      <c r="CP23" s="277"/>
      <c r="CQ23" s="277"/>
      <c r="CR23" s="277"/>
      <c r="CS23" s="286"/>
      <c r="CT23" s="286"/>
      <c r="CU23" s="277"/>
      <c r="CV23" s="277"/>
      <c r="CW23" s="277"/>
      <c r="CX23" s="277"/>
      <c r="CY23" s="277"/>
      <c r="CZ23" s="286"/>
      <c r="DA23" s="286"/>
      <c r="DB23" s="277"/>
      <c r="DC23" s="277"/>
      <c r="DD23" s="277"/>
      <c r="DE23" s="277"/>
      <c r="DF23" s="277"/>
      <c r="DG23" s="286"/>
      <c r="DH23" s="286"/>
      <c r="DI23" s="277"/>
      <c r="DJ23" s="277"/>
      <c r="DK23" s="277"/>
      <c r="DL23" s="277"/>
      <c r="DM23" s="286"/>
      <c r="DN23" s="286"/>
      <c r="DO23" s="286"/>
      <c r="DP23" s="277"/>
      <c r="DQ23" s="277"/>
      <c r="DR23" s="277"/>
      <c r="DS23" s="277"/>
      <c r="DT23" s="277"/>
      <c r="DU23" s="286"/>
      <c r="DV23" s="286"/>
      <c r="DW23" s="277"/>
      <c r="DX23" s="277"/>
      <c r="DY23" s="277"/>
      <c r="DZ23" s="277"/>
      <c r="EA23" s="277"/>
      <c r="EB23" s="286"/>
      <c r="EC23" s="286"/>
      <c r="ED23" s="277"/>
      <c r="EE23" s="277"/>
      <c r="EF23" s="277"/>
      <c r="EG23" s="277"/>
      <c r="EH23" s="277"/>
      <c r="EI23" s="286"/>
      <c r="EJ23" s="286"/>
      <c r="EK23" s="277"/>
      <c r="EL23" s="277"/>
      <c r="EM23" s="277"/>
      <c r="EN23" s="277"/>
      <c r="EO23" s="277"/>
      <c r="EP23" s="286"/>
      <c r="EQ23" s="286"/>
      <c r="ER23" s="277"/>
      <c r="ES23" s="277"/>
      <c r="ET23" s="277"/>
      <c r="EU23" s="277"/>
      <c r="EV23" s="277"/>
      <c r="EW23" s="286"/>
      <c r="EX23" s="286"/>
      <c r="EY23" s="277"/>
      <c r="EZ23" s="277"/>
      <c r="FA23" s="277"/>
      <c r="FB23" s="277"/>
      <c r="FC23" s="277"/>
      <c r="FD23" s="286"/>
      <c r="FE23" s="286"/>
      <c r="FF23" s="277"/>
      <c r="FG23" s="277"/>
      <c r="FH23" s="277"/>
      <c r="FI23" s="277"/>
      <c r="FJ23" s="277"/>
      <c r="FK23" s="286"/>
      <c r="FL23" s="286"/>
      <c r="FM23" s="277"/>
      <c r="FN23" s="277"/>
      <c r="FO23" s="277"/>
      <c r="FP23" s="277"/>
      <c r="FQ23" s="277"/>
      <c r="FR23" s="286"/>
      <c r="FS23" s="286"/>
      <c r="FT23" s="277"/>
      <c r="FU23" s="277"/>
      <c r="FV23" s="287">
        <f t="shared" si="17"/>
        <v>0</v>
      </c>
      <c r="FX23" s="278">
        <f t="shared" si="13"/>
        <v>17</v>
      </c>
      <c r="FY23" s="278">
        <f t="shared" si="13"/>
        <v>0</v>
      </c>
      <c r="FZ23" s="278" t="s">
        <v>623</v>
      </c>
      <c r="GA23" s="278" t="s">
        <v>627</v>
      </c>
      <c r="GB23" s="278">
        <f t="shared" si="14"/>
        <v>0</v>
      </c>
      <c r="GC23" s="280">
        <f t="shared" si="15"/>
        <v>0</v>
      </c>
      <c r="GD23" s="289">
        <v>47</v>
      </c>
      <c r="GE23" s="278">
        <v>1.6</v>
      </c>
      <c r="GF23" s="282">
        <f t="shared" si="16"/>
        <v>0</v>
      </c>
    </row>
    <row r="24" spans="1:188" ht="27" hidden="1" customHeight="1" x14ac:dyDescent="0.3">
      <c r="A24" s="270">
        <v>18</v>
      </c>
      <c r="B24" s="285"/>
      <c r="C24" s="272"/>
      <c r="D24" s="272"/>
      <c r="E24" s="272"/>
      <c r="F24" s="273"/>
      <c r="G24" s="273"/>
      <c r="H24" s="273"/>
      <c r="I24" s="274"/>
      <c r="J24" s="275"/>
      <c r="K24" s="275"/>
      <c r="L24" s="275"/>
      <c r="M24" s="276"/>
      <c r="N24" s="277"/>
      <c r="O24" s="277"/>
      <c r="P24" s="277"/>
      <c r="Q24" s="277"/>
      <c r="R24" s="277"/>
      <c r="S24" s="286"/>
      <c r="T24" s="286"/>
      <c r="U24" s="277"/>
      <c r="V24" s="277"/>
      <c r="W24" s="277"/>
      <c r="X24" s="277"/>
      <c r="Y24" s="277"/>
      <c r="Z24" s="286"/>
      <c r="AA24" s="286"/>
      <c r="AB24" s="277"/>
      <c r="AC24" s="277"/>
      <c r="AD24" s="277"/>
      <c r="AE24" s="277"/>
      <c r="AF24" s="277"/>
      <c r="AG24" s="286"/>
      <c r="AH24" s="286"/>
      <c r="AI24" s="277"/>
      <c r="AJ24" s="277"/>
      <c r="AK24" s="277"/>
      <c r="AL24" s="277"/>
      <c r="AM24" s="277"/>
      <c r="AN24" s="286"/>
      <c r="AO24" s="286"/>
      <c r="AP24" s="286"/>
      <c r="AQ24" s="277"/>
      <c r="AR24" s="277"/>
      <c r="AS24" s="277"/>
      <c r="AT24" s="277"/>
      <c r="AU24" s="277"/>
      <c r="AV24" s="286"/>
      <c r="AW24" s="286"/>
      <c r="AX24" s="277"/>
      <c r="AY24" s="277"/>
      <c r="AZ24" s="277"/>
      <c r="BA24" s="277"/>
      <c r="BB24" s="277"/>
      <c r="BC24" s="286"/>
      <c r="BD24" s="286"/>
      <c r="BE24" s="277"/>
      <c r="BF24" s="277"/>
      <c r="BG24" s="277"/>
      <c r="BH24" s="277"/>
      <c r="BI24" s="277"/>
      <c r="BJ24" s="286"/>
      <c r="BK24" s="286"/>
      <c r="BL24" s="277"/>
      <c r="BM24" s="277"/>
      <c r="BN24" s="277"/>
      <c r="BO24" s="277"/>
      <c r="BP24" s="277"/>
      <c r="BQ24" s="286"/>
      <c r="BR24" s="286"/>
      <c r="BS24" s="277"/>
      <c r="BT24" s="277"/>
      <c r="BU24" s="277"/>
      <c r="BV24" s="277"/>
      <c r="BW24" s="286"/>
      <c r="BX24" s="286"/>
      <c r="BY24" s="277"/>
      <c r="BZ24" s="277"/>
      <c r="CA24" s="277"/>
      <c r="CB24" s="277"/>
      <c r="CC24" s="277"/>
      <c r="CD24" s="286"/>
      <c r="CE24" s="286"/>
      <c r="CF24" s="286"/>
      <c r="CG24" s="277"/>
      <c r="CH24" s="277"/>
      <c r="CI24" s="277"/>
      <c r="CJ24" s="277"/>
      <c r="CK24" s="277"/>
      <c r="CL24" s="286"/>
      <c r="CM24" s="286"/>
      <c r="CN24" s="277"/>
      <c r="CO24" s="277"/>
      <c r="CP24" s="277"/>
      <c r="CQ24" s="277"/>
      <c r="CR24" s="277"/>
      <c r="CS24" s="286"/>
      <c r="CT24" s="286"/>
      <c r="CU24" s="277"/>
      <c r="CV24" s="277"/>
      <c r="CW24" s="277"/>
      <c r="CX24" s="277"/>
      <c r="CY24" s="277"/>
      <c r="CZ24" s="286"/>
      <c r="DA24" s="286"/>
      <c r="DB24" s="277"/>
      <c r="DC24" s="277"/>
      <c r="DD24" s="277"/>
      <c r="DE24" s="277"/>
      <c r="DF24" s="277"/>
      <c r="DG24" s="286"/>
      <c r="DH24" s="286"/>
      <c r="DI24" s="277"/>
      <c r="DJ24" s="277"/>
      <c r="DK24" s="277"/>
      <c r="DL24" s="277"/>
      <c r="DM24" s="286"/>
      <c r="DN24" s="286"/>
      <c r="DO24" s="286"/>
      <c r="DP24" s="277"/>
      <c r="DQ24" s="277"/>
      <c r="DR24" s="277"/>
      <c r="DS24" s="277"/>
      <c r="DT24" s="277"/>
      <c r="DU24" s="286"/>
      <c r="DV24" s="286"/>
      <c r="DW24" s="277"/>
      <c r="DX24" s="277"/>
      <c r="DY24" s="277"/>
      <c r="DZ24" s="277"/>
      <c r="EA24" s="277"/>
      <c r="EB24" s="286"/>
      <c r="EC24" s="286"/>
      <c r="ED24" s="277"/>
      <c r="EE24" s="277"/>
      <c r="EF24" s="277"/>
      <c r="EG24" s="277"/>
      <c r="EH24" s="277"/>
      <c r="EI24" s="286"/>
      <c r="EJ24" s="286"/>
      <c r="EK24" s="277"/>
      <c r="EL24" s="277"/>
      <c r="EM24" s="277"/>
      <c r="EN24" s="277"/>
      <c r="EO24" s="277"/>
      <c r="EP24" s="286"/>
      <c r="EQ24" s="286"/>
      <c r="ER24" s="277"/>
      <c r="ES24" s="277"/>
      <c r="ET24" s="277"/>
      <c r="EU24" s="277"/>
      <c r="EV24" s="277"/>
      <c r="EW24" s="286"/>
      <c r="EX24" s="286"/>
      <c r="EY24" s="277"/>
      <c r="EZ24" s="277"/>
      <c r="FA24" s="277"/>
      <c r="FB24" s="277"/>
      <c r="FC24" s="277"/>
      <c r="FD24" s="286"/>
      <c r="FE24" s="286"/>
      <c r="FF24" s="277"/>
      <c r="FG24" s="277"/>
      <c r="FH24" s="277"/>
      <c r="FI24" s="277"/>
      <c r="FJ24" s="277"/>
      <c r="FK24" s="286"/>
      <c r="FL24" s="286"/>
      <c r="FM24" s="277"/>
      <c r="FN24" s="277"/>
      <c r="FO24" s="277"/>
      <c r="FP24" s="277"/>
      <c r="FQ24" s="277"/>
      <c r="FR24" s="286"/>
      <c r="FS24" s="286"/>
      <c r="FT24" s="277"/>
      <c r="FU24" s="277"/>
      <c r="FV24" s="287">
        <f t="shared" si="17"/>
        <v>0</v>
      </c>
      <c r="FX24" s="278">
        <f t="shared" si="13"/>
        <v>18</v>
      </c>
      <c r="FY24" s="278">
        <f t="shared" si="13"/>
        <v>0</v>
      </c>
      <c r="FZ24" s="278" t="s">
        <v>623</v>
      </c>
      <c r="GA24" s="278" t="s">
        <v>627</v>
      </c>
      <c r="GB24" s="278">
        <f t="shared" si="14"/>
        <v>0</v>
      </c>
      <c r="GC24" s="280">
        <f t="shared" si="15"/>
        <v>0</v>
      </c>
      <c r="GD24" s="289">
        <v>47</v>
      </c>
      <c r="GE24" s="278">
        <v>1.6</v>
      </c>
      <c r="GF24" s="282">
        <f t="shared" si="16"/>
        <v>0</v>
      </c>
    </row>
    <row r="25" spans="1:188" ht="27" hidden="1" customHeight="1" x14ac:dyDescent="0.3">
      <c r="A25" s="270">
        <v>21</v>
      </c>
      <c r="B25" s="285"/>
      <c r="C25" s="272"/>
      <c r="D25" s="272"/>
      <c r="E25" s="272"/>
      <c r="F25" s="273"/>
      <c r="G25" s="273"/>
      <c r="H25" s="273"/>
      <c r="I25" s="274"/>
      <c r="J25" s="275"/>
      <c r="K25" s="275"/>
      <c r="L25" s="275"/>
      <c r="M25" s="276"/>
      <c r="N25" s="277"/>
      <c r="O25" s="277"/>
      <c r="P25" s="277"/>
      <c r="Q25" s="277"/>
      <c r="R25" s="277"/>
      <c r="S25" s="286"/>
      <c r="T25" s="286"/>
      <c r="U25" s="277"/>
      <c r="V25" s="277"/>
      <c r="W25" s="277"/>
      <c r="X25" s="277"/>
      <c r="Y25" s="277"/>
      <c r="Z25" s="286"/>
      <c r="AA25" s="286"/>
      <c r="AB25" s="277"/>
      <c r="AC25" s="277"/>
      <c r="AD25" s="277"/>
      <c r="AE25" s="277"/>
      <c r="AF25" s="277"/>
      <c r="AG25" s="286"/>
      <c r="AH25" s="286"/>
      <c r="AI25" s="277"/>
      <c r="AJ25" s="277"/>
      <c r="AK25" s="277"/>
      <c r="AL25" s="277"/>
      <c r="AM25" s="277"/>
      <c r="AN25" s="286"/>
      <c r="AO25" s="286"/>
      <c r="AP25" s="286"/>
      <c r="AQ25" s="277"/>
      <c r="AR25" s="277"/>
      <c r="AS25" s="277"/>
      <c r="AT25" s="277"/>
      <c r="AU25" s="277"/>
      <c r="AV25" s="286"/>
      <c r="AW25" s="286"/>
      <c r="AX25" s="277"/>
      <c r="AY25" s="277"/>
      <c r="AZ25" s="277"/>
      <c r="BA25" s="277"/>
      <c r="BB25" s="277"/>
      <c r="BC25" s="286"/>
      <c r="BD25" s="286"/>
      <c r="BE25" s="277"/>
      <c r="BF25" s="277"/>
      <c r="BG25" s="277"/>
      <c r="BH25" s="277"/>
      <c r="BI25" s="277"/>
      <c r="BJ25" s="286"/>
      <c r="BK25" s="286"/>
      <c r="BL25" s="277"/>
      <c r="BM25" s="277"/>
      <c r="BN25" s="277"/>
      <c r="BO25" s="277"/>
      <c r="BP25" s="277"/>
      <c r="BQ25" s="286"/>
      <c r="BR25" s="286"/>
      <c r="BS25" s="277"/>
      <c r="BT25" s="277"/>
      <c r="BU25" s="277"/>
      <c r="BV25" s="277"/>
      <c r="BW25" s="286"/>
      <c r="BX25" s="286"/>
      <c r="BY25" s="277"/>
      <c r="BZ25" s="277"/>
      <c r="CA25" s="277"/>
      <c r="CB25" s="277"/>
      <c r="CC25" s="277"/>
      <c r="CD25" s="286"/>
      <c r="CE25" s="286"/>
      <c r="CF25" s="286"/>
      <c r="CG25" s="277"/>
      <c r="CH25" s="277"/>
      <c r="CI25" s="277"/>
      <c r="CJ25" s="277"/>
      <c r="CK25" s="277"/>
      <c r="CL25" s="286"/>
      <c r="CM25" s="286"/>
      <c r="CN25" s="277"/>
      <c r="CO25" s="277"/>
      <c r="CP25" s="277"/>
      <c r="CQ25" s="277"/>
      <c r="CR25" s="277"/>
      <c r="CS25" s="286"/>
      <c r="CT25" s="286"/>
      <c r="CU25" s="277"/>
      <c r="CV25" s="277"/>
      <c r="CW25" s="277"/>
      <c r="CX25" s="277"/>
      <c r="CY25" s="277"/>
      <c r="CZ25" s="286"/>
      <c r="DA25" s="286"/>
      <c r="DB25" s="277"/>
      <c r="DC25" s="277"/>
      <c r="DD25" s="277"/>
      <c r="DE25" s="277"/>
      <c r="DF25" s="277"/>
      <c r="DG25" s="286"/>
      <c r="DH25" s="286"/>
      <c r="DI25" s="277"/>
      <c r="DJ25" s="277"/>
      <c r="DK25" s="277"/>
      <c r="DL25" s="277"/>
      <c r="DM25" s="286"/>
      <c r="DN25" s="286"/>
      <c r="DO25" s="286"/>
      <c r="DP25" s="277"/>
      <c r="DQ25" s="277"/>
      <c r="DR25" s="277"/>
      <c r="DS25" s="277"/>
      <c r="DT25" s="277"/>
      <c r="DU25" s="286"/>
      <c r="DV25" s="286"/>
      <c r="DW25" s="277"/>
      <c r="DX25" s="277"/>
      <c r="DY25" s="277"/>
      <c r="DZ25" s="277"/>
      <c r="EA25" s="277"/>
      <c r="EB25" s="286"/>
      <c r="EC25" s="286"/>
      <c r="ED25" s="277"/>
      <c r="EE25" s="277"/>
      <c r="EF25" s="277"/>
      <c r="EG25" s="277"/>
      <c r="EH25" s="277"/>
      <c r="EI25" s="286"/>
      <c r="EJ25" s="286"/>
      <c r="EK25" s="277"/>
      <c r="EL25" s="277"/>
      <c r="EM25" s="277"/>
      <c r="EN25" s="277"/>
      <c r="EO25" s="277"/>
      <c r="EP25" s="286"/>
      <c r="EQ25" s="286"/>
      <c r="ER25" s="277"/>
      <c r="ES25" s="277"/>
      <c r="ET25" s="277"/>
      <c r="EU25" s="277"/>
      <c r="EV25" s="277"/>
      <c r="EW25" s="286"/>
      <c r="EX25" s="286"/>
      <c r="EY25" s="277"/>
      <c r="EZ25" s="277"/>
      <c r="FA25" s="277"/>
      <c r="FB25" s="277"/>
      <c r="FC25" s="277"/>
      <c r="FD25" s="286"/>
      <c r="FE25" s="286"/>
      <c r="FF25" s="277"/>
      <c r="FG25" s="277"/>
      <c r="FH25" s="277"/>
      <c r="FI25" s="277"/>
      <c r="FJ25" s="277"/>
      <c r="FK25" s="286"/>
      <c r="FL25" s="286"/>
      <c r="FM25" s="277"/>
      <c r="FN25" s="277"/>
      <c r="FO25" s="277"/>
      <c r="FP25" s="277"/>
      <c r="FQ25" s="277"/>
      <c r="FR25" s="286"/>
      <c r="FS25" s="286"/>
      <c r="FT25" s="277"/>
      <c r="FU25" s="277"/>
      <c r="FV25" s="287">
        <f t="shared" si="17"/>
        <v>0</v>
      </c>
      <c r="FX25" s="278">
        <f t="shared" si="13"/>
        <v>21</v>
      </c>
      <c r="FY25" s="278">
        <f t="shared" si="13"/>
        <v>0</v>
      </c>
      <c r="FZ25" s="278" t="s">
        <v>623</v>
      </c>
      <c r="GA25" s="278" t="s">
        <v>627</v>
      </c>
      <c r="GB25" s="278">
        <f t="shared" si="14"/>
        <v>0</v>
      </c>
      <c r="GC25" s="280">
        <f t="shared" si="15"/>
        <v>0</v>
      </c>
      <c r="GD25" s="289">
        <v>47</v>
      </c>
      <c r="GE25" s="278">
        <v>1.6</v>
      </c>
      <c r="GF25" s="282">
        <f t="shared" si="16"/>
        <v>0</v>
      </c>
    </row>
    <row r="26" spans="1:188" ht="27" hidden="1" customHeight="1" x14ac:dyDescent="0.3">
      <c r="A26" s="270">
        <v>22</v>
      </c>
      <c r="B26" s="285"/>
      <c r="C26" s="272"/>
      <c r="D26" s="272"/>
      <c r="E26" s="272"/>
      <c r="F26" s="273"/>
      <c r="G26" s="273"/>
      <c r="H26" s="273"/>
      <c r="I26" s="274"/>
      <c r="J26" s="275"/>
      <c r="K26" s="275"/>
      <c r="L26" s="275"/>
      <c r="M26" s="276"/>
      <c r="N26" s="277"/>
      <c r="O26" s="277"/>
      <c r="P26" s="277"/>
      <c r="Q26" s="277"/>
      <c r="R26" s="277"/>
      <c r="S26" s="286"/>
      <c r="T26" s="286"/>
      <c r="U26" s="277"/>
      <c r="V26" s="277"/>
      <c r="W26" s="277"/>
      <c r="X26" s="277"/>
      <c r="Y26" s="277"/>
      <c r="Z26" s="286"/>
      <c r="AA26" s="286"/>
      <c r="AB26" s="277"/>
      <c r="AC26" s="277"/>
      <c r="AD26" s="277"/>
      <c r="AE26" s="277"/>
      <c r="AF26" s="277"/>
      <c r="AG26" s="286"/>
      <c r="AH26" s="286"/>
      <c r="AI26" s="277"/>
      <c r="AJ26" s="277"/>
      <c r="AK26" s="277"/>
      <c r="AL26" s="277"/>
      <c r="AM26" s="277"/>
      <c r="AN26" s="286"/>
      <c r="AO26" s="286"/>
      <c r="AP26" s="286"/>
      <c r="AQ26" s="277"/>
      <c r="AR26" s="277"/>
      <c r="AS26" s="277"/>
      <c r="AT26" s="277"/>
      <c r="AU26" s="277"/>
      <c r="AV26" s="286"/>
      <c r="AW26" s="286"/>
      <c r="AX26" s="277"/>
      <c r="AY26" s="277"/>
      <c r="AZ26" s="277"/>
      <c r="BA26" s="277"/>
      <c r="BB26" s="277"/>
      <c r="BC26" s="286"/>
      <c r="BD26" s="286"/>
      <c r="BE26" s="277"/>
      <c r="BF26" s="277"/>
      <c r="BG26" s="277"/>
      <c r="BH26" s="277"/>
      <c r="BI26" s="277"/>
      <c r="BJ26" s="286"/>
      <c r="BK26" s="286"/>
      <c r="BL26" s="277"/>
      <c r="BM26" s="277"/>
      <c r="BN26" s="277"/>
      <c r="BO26" s="277"/>
      <c r="BP26" s="277"/>
      <c r="BQ26" s="286"/>
      <c r="BR26" s="286"/>
      <c r="BS26" s="277"/>
      <c r="BT26" s="277"/>
      <c r="BU26" s="277"/>
      <c r="BV26" s="277"/>
      <c r="BW26" s="286"/>
      <c r="BX26" s="286"/>
      <c r="BY26" s="277"/>
      <c r="BZ26" s="277"/>
      <c r="CA26" s="277"/>
      <c r="CB26" s="277"/>
      <c r="CC26" s="277"/>
      <c r="CD26" s="286"/>
      <c r="CE26" s="286"/>
      <c r="CF26" s="286"/>
      <c r="CG26" s="277"/>
      <c r="CH26" s="277"/>
      <c r="CI26" s="277"/>
      <c r="CJ26" s="277"/>
      <c r="CK26" s="277"/>
      <c r="CL26" s="286"/>
      <c r="CM26" s="286"/>
      <c r="CN26" s="277"/>
      <c r="CO26" s="277"/>
      <c r="CP26" s="277"/>
      <c r="CQ26" s="277"/>
      <c r="CR26" s="277"/>
      <c r="CS26" s="286"/>
      <c r="CT26" s="286"/>
      <c r="CU26" s="277"/>
      <c r="CV26" s="277"/>
      <c r="CW26" s="277"/>
      <c r="CX26" s="277"/>
      <c r="CY26" s="277"/>
      <c r="CZ26" s="286"/>
      <c r="DA26" s="286"/>
      <c r="DB26" s="277"/>
      <c r="DC26" s="277"/>
      <c r="DD26" s="277"/>
      <c r="DE26" s="277"/>
      <c r="DF26" s="277"/>
      <c r="DG26" s="286"/>
      <c r="DH26" s="286"/>
      <c r="DI26" s="277"/>
      <c r="DJ26" s="277"/>
      <c r="DK26" s="277"/>
      <c r="DL26" s="277"/>
      <c r="DM26" s="286"/>
      <c r="DN26" s="286"/>
      <c r="DO26" s="286"/>
      <c r="DP26" s="277"/>
      <c r="DQ26" s="277"/>
      <c r="DR26" s="277"/>
      <c r="DS26" s="277"/>
      <c r="DT26" s="277"/>
      <c r="DU26" s="286"/>
      <c r="DV26" s="286"/>
      <c r="DW26" s="277"/>
      <c r="DX26" s="277"/>
      <c r="DY26" s="277"/>
      <c r="DZ26" s="277"/>
      <c r="EA26" s="277"/>
      <c r="EB26" s="286"/>
      <c r="EC26" s="286"/>
      <c r="ED26" s="277"/>
      <c r="EE26" s="277"/>
      <c r="EF26" s="277"/>
      <c r="EG26" s="277"/>
      <c r="EH26" s="277"/>
      <c r="EI26" s="286"/>
      <c r="EJ26" s="286"/>
      <c r="EK26" s="277"/>
      <c r="EL26" s="277"/>
      <c r="EM26" s="277"/>
      <c r="EN26" s="277"/>
      <c r="EO26" s="277"/>
      <c r="EP26" s="286"/>
      <c r="EQ26" s="286"/>
      <c r="ER26" s="277"/>
      <c r="ES26" s="277"/>
      <c r="ET26" s="277"/>
      <c r="EU26" s="277"/>
      <c r="EV26" s="277"/>
      <c r="EW26" s="286"/>
      <c r="EX26" s="286"/>
      <c r="EY26" s="277"/>
      <c r="EZ26" s="277"/>
      <c r="FA26" s="277"/>
      <c r="FB26" s="277"/>
      <c r="FC26" s="277"/>
      <c r="FD26" s="286"/>
      <c r="FE26" s="286"/>
      <c r="FF26" s="277"/>
      <c r="FG26" s="277"/>
      <c r="FH26" s="277"/>
      <c r="FI26" s="277"/>
      <c r="FJ26" s="277"/>
      <c r="FK26" s="286"/>
      <c r="FL26" s="286"/>
      <c r="FM26" s="277"/>
      <c r="FN26" s="277"/>
      <c r="FO26" s="277"/>
      <c r="FP26" s="277"/>
      <c r="FQ26" s="277"/>
      <c r="FR26" s="286"/>
      <c r="FS26" s="286"/>
      <c r="FT26" s="277"/>
      <c r="FU26" s="277"/>
      <c r="FV26" s="287">
        <f t="shared" si="17"/>
        <v>0</v>
      </c>
      <c r="FX26" s="278">
        <f t="shared" si="13"/>
        <v>22</v>
      </c>
      <c r="FY26" s="278">
        <f t="shared" si="13"/>
        <v>0</v>
      </c>
      <c r="FZ26" s="278" t="s">
        <v>623</v>
      </c>
      <c r="GA26" s="278" t="s">
        <v>627</v>
      </c>
      <c r="GB26" s="278">
        <f t="shared" si="14"/>
        <v>0</v>
      </c>
      <c r="GC26" s="280">
        <f t="shared" si="15"/>
        <v>0</v>
      </c>
      <c r="GD26" s="289">
        <v>47</v>
      </c>
      <c r="GE26" s="278">
        <v>1.6</v>
      </c>
      <c r="GF26" s="282">
        <f t="shared" si="16"/>
        <v>0</v>
      </c>
    </row>
    <row r="27" spans="1:188" ht="27" hidden="1" customHeight="1" x14ac:dyDescent="0.3">
      <c r="A27" s="270">
        <v>23</v>
      </c>
      <c r="B27" s="285"/>
      <c r="C27" s="272"/>
      <c r="D27" s="272"/>
      <c r="E27" s="272"/>
      <c r="F27" s="273"/>
      <c r="G27" s="273"/>
      <c r="H27" s="273"/>
      <c r="I27" s="274"/>
      <c r="J27" s="275"/>
      <c r="K27" s="275"/>
      <c r="L27" s="275"/>
      <c r="M27" s="276"/>
      <c r="N27" s="277"/>
      <c r="O27" s="277"/>
      <c r="P27" s="277"/>
      <c r="Q27" s="277"/>
      <c r="R27" s="277"/>
      <c r="S27" s="286"/>
      <c r="T27" s="286"/>
      <c r="U27" s="277"/>
      <c r="V27" s="277"/>
      <c r="W27" s="277"/>
      <c r="X27" s="277"/>
      <c r="Y27" s="277"/>
      <c r="Z27" s="286"/>
      <c r="AA27" s="286"/>
      <c r="AB27" s="277"/>
      <c r="AC27" s="277"/>
      <c r="AD27" s="277"/>
      <c r="AE27" s="277"/>
      <c r="AF27" s="277"/>
      <c r="AG27" s="286"/>
      <c r="AH27" s="286"/>
      <c r="AI27" s="277"/>
      <c r="AJ27" s="277"/>
      <c r="AK27" s="277"/>
      <c r="AL27" s="277"/>
      <c r="AM27" s="277"/>
      <c r="AN27" s="286"/>
      <c r="AO27" s="286"/>
      <c r="AP27" s="286"/>
      <c r="AQ27" s="277"/>
      <c r="AR27" s="277"/>
      <c r="AS27" s="277"/>
      <c r="AT27" s="277"/>
      <c r="AU27" s="277"/>
      <c r="AV27" s="286"/>
      <c r="AW27" s="286"/>
      <c r="AX27" s="277"/>
      <c r="AY27" s="277"/>
      <c r="AZ27" s="277"/>
      <c r="BA27" s="277"/>
      <c r="BB27" s="277"/>
      <c r="BC27" s="286"/>
      <c r="BD27" s="286"/>
      <c r="BE27" s="277"/>
      <c r="BF27" s="277"/>
      <c r="BG27" s="277"/>
      <c r="BH27" s="277"/>
      <c r="BI27" s="277"/>
      <c r="BJ27" s="286"/>
      <c r="BK27" s="286"/>
      <c r="BL27" s="277"/>
      <c r="BM27" s="277"/>
      <c r="BN27" s="277"/>
      <c r="BO27" s="277"/>
      <c r="BP27" s="277"/>
      <c r="BQ27" s="286"/>
      <c r="BR27" s="286"/>
      <c r="BS27" s="277"/>
      <c r="BT27" s="277"/>
      <c r="BU27" s="277"/>
      <c r="BV27" s="277"/>
      <c r="BW27" s="286"/>
      <c r="BX27" s="286"/>
      <c r="BY27" s="277"/>
      <c r="BZ27" s="277"/>
      <c r="CA27" s="277"/>
      <c r="CB27" s="277"/>
      <c r="CC27" s="277"/>
      <c r="CD27" s="286"/>
      <c r="CE27" s="286"/>
      <c r="CF27" s="286"/>
      <c r="CG27" s="277"/>
      <c r="CH27" s="277"/>
      <c r="CI27" s="277"/>
      <c r="CJ27" s="277"/>
      <c r="CK27" s="277"/>
      <c r="CL27" s="286"/>
      <c r="CM27" s="286"/>
      <c r="CN27" s="277"/>
      <c r="CO27" s="277"/>
      <c r="CP27" s="277"/>
      <c r="CQ27" s="277"/>
      <c r="CR27" s="277"/>
      <c r="CS27" s="286"/>
      <c r="CT27" s="286"/>
      <c r="CU27" s="277"/>
      <c r="CV27" s="277"/>
      <c r="CW27" s="277"/>
      <c r="CX27" s="277"/>
      <c r="CY27" s="277"/>
      <c r="CZ27" s="286"/>
      <c r="DA27" s="286"/>
      <c r="DB27" s="277"/>
      <c r="DC27" s="277"/>
      <c r="DD27" s="277"/>
      <c r="DE27" s="277"/>
      <c r="DF27" s="277"/>
      <c r="DG27" s="286"/>
      <c r="DH27" s="286"/>
      <c r="DI27" s="277"/>
      <c r="DJ27" s="277"/>
      <c r="DK27" s="277"/>
      <c r="DL27" s="277"/>
      <c r="DM27" s="286"/>
      <c r="DN27" s="286"/>
      <c r="DO27" s="286"/>
      <c r="DP27" s="277"/>
      <c r="DQ27" s="277"/>
      <c r="DR27" s="277"/>
      <c r="DS27" s="277"/>
      <c r="DT27" s="277"/>
      <c r="DU27" s="286"/>
      <c r="DV27" s="286"/>
      <c r="DW27" s="277"/>
      <c r="DX27" s="277"/>
      <c r="DY27" s="277"/>
      <c r="DZ27" s="277"/>
      <c r="EA27" s="277"/>
      <c r="EB27" s="286"/>
      <c r="EC27" s="286"/>
      <c r="ED27" s="277"/>
      <c r="EE27" s="277"/>
      <c r="EF27" s="277"/>
      <c r="EG27" s="277"/>
      <c r="EH27" s="277"/>
      <c r="EI27" s="286"/>
      <c r="EJ27" s="286"/>
      <c r="EK27" s="277"/>
      <c r="EL27" s="277"/>
      <c r="EM27" s="277"/>
      <c r="EN27" s="277"/>
      <c r="EO27" s="277"/>
      <c r="EP27" s="286"/>
      <c r="EQ27" s="286"/>
      <c r="ER27" s="277"/>
      <c r="ES27" s="277"/>
      <c r="ET27" s="277"/>
      <c r="EU27" s="277"/>
      <c r="EV27" s="277"/>
      <c r="EW27" s="286"/>
      <c r="EX27" s="286"/>
      <c r="EY27" s="277"/>
      <c r="EZ27" s="277"/>
      <c r="FA27" s="277"/>
      <c r="FB27" s="277"/>
      <c r="FC27" s="277"/>
      <c r="FD27" s="286"/>
      <c r="FE27" s="286"/>
      <c r="FF27" s="277"/>
      <c r="FG27" s="277"/>
      <c r="FH27" s="277"/>
      <c r="FI27" s="277"/>
      <c r="FJ27" s="277"/>
      <c r="FK27" s="286"/>
      <c r="FL27" s="286"/>
      <c r="FM27" s="277"/>
      <c r="FN27" s="277"/>
      <c r="FO27" s="277"/>
      <c r="FP27" s="277"/>
      <c r="FQ27" s="277"/>
      <c r="FR27" s="286"/>
      <c r="FS27" s="286"/>
      <c r="FT27" s="277"/>
      <c r="FU27" s="277"/>
      <c r="FV27" s="287">
        <f t="shared" si="17"/>
        <v>0</v>
      </c>
      <c r="FX27" s="278">
        <f t="shared" si="13"/>
        <v>23</v>
      </c>
      <c r="FY27" s="278">
        <f t="shared" si="13"/>
        <v>0</v>
      </c>
      <c r="FZ27" s="278" t="s">
        <v>623</v>
      </c>
      <c r="GA27" s="278" t="s">
        <v>627</v>
      </c>
      <c r="GB27" s="278">
        <f t="shared" si="14"/>
        <v>0</v>
      </c>
      <c r="GC27" s="280">
        <f t="shared" si="15"/>
        <v>0</v>
      </c>
      <c r="GD27" s="289">
        <v>47</v>
      </c>
      <c r="GE27" s="278">
        <v>1.6</v>
      </c>
      <c r="GF27" s="282">
        <f t="shared" si="16"/>
        <v>0</v>
      </c>
    </row>
    <row r="28" spans="1:188" ht="27" hidden="1" customHeight="1" x14ac:dyDescent="0.3">
      <c r="A28" s="270">
        <v>24</v>
      </c>
      <c r="B28" s="285"/>
      <c r="C28" s="272"/>
      <c r="D28" s="272"/>
      <c r="E28" s="272"/>
      <c r="F28" s="273"/>
      <c r="G28" s="273"/>
      <c r="H28" s="273"/>
      <c r="I28" s="274"/>
      <c r="J28" s="275"/>
      <c r="K28" s="275"/>
      <c r="L28" s="275"/>
      <c r="M28" s="276"/>
      <c r="N28" s="277"/>
      <c r="O28" s="277"/>
      <c r="P28" s="277"/>
      <c r="Q28" s="277"/>
      <c r="R28" s="277"/>
      <c r="S28" s="286"/>
      <c r="T28" s="286"/>
      <c r="U28" s="277"/>
      <c r="V28" s="277"/>
      <c r="W28" s="277"/>
      <c r="X28" s="277"/>
      <c r="Y28" s="277"/>
      <c r="Z28" s="286"/>
      <c r="AA28" s="286"/>
      <c r="AB28" s="277"/>
      <c r="AC28" s="277"/>
      <c r="AD28" s="277"/>
      <c r="AE28" s="277"/>
      <c r="AF28" s="277"/>
      <c r="AG28" s="286"/>
      <c r="AH28" s="286"/>
      <c r="AI28" s="277"/>
      <c r="AJ28" s="277"/>
      <c r="AK28" s="277"/>
      <c r="AL28" s="277"/>
      <c r="AM28" s="277"/>
      <c r="AN28" s="286"/>
      <c r="AO28" s="286"/>
      <c r="AP28" s="286"/>
      <c r="AQ28" s="277"/>
      <c r="AR28" s="277"/>
      <c r="AS28" s="277"/>
      <c r="AT28" s="277"/>
      <c r="AU28" s="277"/>
      <c r="AV28" s="286"/>
      <c r="AW28" s="286"/>
      <c r="AX28" s="277"/>
      <c r="AY28" s="277"/>
      <c r="AZ28" s="277"/>
      <c r="BA28" s="277"/>
      <c r="BB28" s="277"/>
      <c r="BC28" s="286"/>
      <c r="BD28" s="286"/>
      <c r="BE28" s="277"/>
      <c r="BF28" s="277"/>
      <c r="BG28" s="277"/>
      <c r="BH28" s="277"/>
      <c r="BI28" s="277"/>
      <c r="BJ28" s="286"/>
      <c r="BK28" s="286"/>
      <c r="BL28" s="277"/>
      <c r="BM28" s="277"/>
      <c r="BN28" s="277"/>
      <c r="BO28" s="277"/>
      <c r="BP28" s="277"/>
      <c r="BQ28" s="286"/>
      <c r="BR28" s="286"/>
      <c r="BS28" s="277"/>
      <c r="BT28" s="277"/>
      <c r="BU28" s="277"/>
      <c r="BV28" s="277"/>
      <c r="BW28" s="286"/>
      <c r="BX28" s="286"/>
      <c r="BY28" s="277"/>
      <c r="BZ28" s="277"/>
      <c r="CA28" s="277"/>
      <c r="CB28" s="277"/>
      <c r="CC28" s="277"/>
      <c r="CD28" s="286"/>
      <c r="CE28" s="286"/>
      <c r="CF28" s="286"/>
      <c r="CG28" s="277"/>
      <c r="CH28" s="277"/>
      <c r="CI28" s="277"/>
      <c r="CJ28" s="277"/>
      <c r="CK28" s="277"/>
      <c r="CL28" s="286"/>
      <c r="CM28" s="286"/>
      <c r="CN28" s="277"/>
      <c r="CO28" s="277"/>
      <c r="CP28" s="277"/>
      <c r="CQ28" s="277"/>
      <c r="CR28" s="277"/>
      <c r="CS28" s="286"/>
      <c r="CT28" s="286"/>
      <c r="CU28" s="277"/>
      <c r="CV28" s="277"/>
      <c r="CW28" s="277"/>
      <c r="CX28" s="277"/>
      <c r="CY28" s="277"/>
      <c r="CZ28" s="286"/>
      <c r="DA28" s="286"/>
      <c r="DB28" s="277"/>
      <c r="DC28" s="277"/>
      <c r="DD28" s="277"/>
      <c r="DE28" s="277"/>
      <c r="DF28" s="277"/>
      <c r="DG28" s="286"/>
      <c r="DH28" s="286"/>
      <c r="DI28" s="277"/>
      <c r="DJ28" s="277"/>
      <c r="DK28" s="277"/>
      <c r="DL28" s="277"/>
      <c r="DM28" s="286"/>
      <c r="DN28" s="286"/>
      <c r="DO28" s="286"/>
      <c r="DP28" s="277"/>
      <c r="DQ28" s="277"/>
      <c r="DR28" s="277"/>
      <c r="DS28" s="277"/>
      <c r="DT28" s="277"/>
      <c r="DU28" s="286"/>
      <c r="DV28" s="286"/>
      <c r="DW28" s="277"/>
      <c r="DX28" s="277"/>
      <c r="DY28" s="277"/>
      <c r="DZ28" s="277"/>
      <c r="EA28" s="277"/>
      <c r="EB28" s="286"/>
      <c r="EC28" s="286"/>
      <c r="ED28" s="277"/>
      <c r="EE28" s="277"/>
      <c r="EF28" s="277"/>
      <c r="EG28" s="277"/>
      <c r="EH28" s="277"/>
      <c r="EI28" s="286"/>
      <c r="EJ28" s="286"/>
      <c r="EK28" s="277"/>
      <c r="EL28" s="277"/>
      <c r="EM28" s="277"/>
      <c r="EN28" s="277"/>
      <c r="EO28" s="277"/>
      <c r="EP28" s="286"/>
      <c r="EQ28" s="286"/>
      <c r="ER28" s="277"/>
      <c r="ES28" s="277"/>
      <c r="ET28" s="277"/>
      <c r="EU28" s="277"/>
      <c r="EV28" s="277"/>
      <c r="EW28" s="286"/>
      <c r="EX28" s="286"/>
      <c r="EY28" s="277"/>
      <c r="EZ28" s="277"/>
      <c r="FA28" s="277"/>
      <c r="FB28" s="277"/>
      <c r="FC28" s="277"/>
      <c r="FD28" s="286"/>
      <c r="FE28" s="286"/>
      <c r="FF28" s="277"/>
      <c r="FG28" s="277"/>
      <c r="FH28" s="277"/>
      <c r="FI28" s="277"/>
      <c r="FJ28" s="277"/>
      <c r="FK28" s="286"/>
      <c r="FL28" s="286"/>
      <c r="FM28" s="277"/>
      <c r="FN28" s="277"/>
      <c r="FO28" s="277"/>
      <c r="FP28" s="277"/>
      <c r="FQ28" s="277"/>
      <c r="FR28" s="286"/>
      <c r="FS28" s="286"/>
      <c r="FT28" s="277"/>
      <c r="FU28" s="277"/>
      <c r="FV28" s="287">
        <f t="shared" si="17"/>
        <v>0</v>
      </c>
      <c r="FX28" s="278">
        <f t="shared" si="13"/>
        <v>24</v>
      </c>
      <c r="FY28" s="278">
        <f t="shared" si="13"/>
        <v>0</v>
      </c>
      <c r="FZ28" s="278" t="s">
        <v>623</v>
      </c>
      <c r="GA28" s="278" t="s">
        <v>627</v>
      </c>
      <c r="GB28" s="278">
        <f t="shared" si="14"/>
        <v>0</v>
      </c>
      <c r="GC28" s="280">
        <f t="shared" si="15"/>
        <v>0</v>
      </c>
      <c r="GD28" s="289">
        <v>47</v>
      </c>
      <c r="GE28" s="278">
        <v>1.6</v>
      </c>
      <c r="GF28" s="282">
        <f t="shared" si="16"/>
        <v>0</v>
      </c>
    </row>
    <row r="29" spans="1:188" ht="27" hidden="1" customHeight="1" x14ac:dyDescent="0.3">
      <c r="A29" s="270">
        <v>25</v>
      </c>
      <c r="B29" s="285"/>
      <c r="C29" s="272"/>
      <c r="D29" s="272"/>
      <c r="E29" s="272"/>
      <c r="F29" s="273"/>
      <c r="G29" s="273"/>
      <c r="H29" s="273"/>
      <c r="I29" s="274"/>
      <c r="J29" s="275"/>
      <c r="K29" s="275"/>
      <c r="L29" s="275"/>
      <c r="M29" s="276"/>
      <c r="N29" s="277"/>
      <c r="O29" s="277"/>
      <c r="P29" s="277"/>
      <c r="Q29" s="277"/>
      <c r="R29" s="277"/>
      <c r="S29" s="286"/>
      <c r="T29" s="286"/>
      <c r="U29" s="277"/>
      <c r="V29" s="277"/>
      <c r="W29" s="277"/>
      <c r="X29" s="277"/>
      <c r="Y29" s="277"/>
      <c r="Z29" s="286"/>
      <c r="AA29" s="286"/>
      <c r="AB29" s="277"/>
      <c r="AC29" s="277"/>
      <c r="AD29" s="277"/>
      <c r="AE29" s="277"/>
      <c r="AF29" s="277"/>
      <c r="AG29" s="286"/>
      <c r="AH29" s="286"/>
      <c r="AI29" s="277"/>
      <c r="AJ29" s="277"/>
      <c r="AK29" s="277"/>
      <c r="AL29" s="277"/>
      <c r="AM29" s="277"/>
      <c r="AN29" s="286"/>
      <c r="AO29" s="286"/>
      <c r="AP29" s="286"/>
      <c r="AQ29" s="277"/>
      <c r="AR29" s="277"/>
      <c r="AS29" s="277"/>
      <c r="AT29" s="277"/>
      <c r="AU29" s="277"/>
      <c r="AV29" s="286"/>
      <c r="AW29" s="286"/>
      <c r="AX29" s="277"/>
      <c r="AY29" s="277"/>
      <c r="AZ29" s="277"/>
      <c r="BA29" s="277"/>
      <c r="BB29" s="277"/>
      <c r="BC29" s="286"/>
      <c r="BD29" s="286"/>
      <c r="BE29" s="277"/>
      <c r="BF29" s="277"/>
      <c r="BG29" s="277"/>
      <c r="BH29" s="277"/>
      <c r="BI29" s="277"/>
      <c r="BJ29" s="286"/>
      <c r="BK29" s="286"/>
      <c r="BL29" s="277"/>
      <c r="BM29" s="277"/>
      <c r="BN29" s="277"/>
      <c r="BO29" s="277"/>
      <c r="BP29" s="277"/>
      <c r="BQ29" s="286"/>
      <c r="BR29" s="286"/>
      <c r="BS29" s="277"/>
      <c r="BT29" s="277"/>
      <c r="BU29" s="277"/>
      <c r="BV29" s="277"/>
      <c r="BW29" s="286"/>
      <c r="BX29" s="286"/>
      <c r="BY29" s="277"/>
      <c r="BZ29" s="277"/>
      <c r="CA29" s="277"/>
      <c r="CB29" s="277"/>
      <c r="CC29" s="277"/>
      <c r="CD29" s="286"/>
      <c r="CE29" s="286"/>
      <c r="CF29" s="286"/>
      <c r="CG29" s="277"/>
      <c r="CH29" s="277"/>
      <c r="CI29" s="277"/>
      <c r="CJ29" s="277"/>
      <c r="CK29" s="277"/>
      <c r="CL29" s="286"/>
      <c r="CM29" s="286"/>
      <c r="CN29" s="277"/>
      <c r="CO29" s="277"/>
      <c r="CP29" s="277"/>
      <c r="CQ29" s="277"/>
      <c r="CR29" s="277"/>
      <c r="CS29" s="286"/>
      <c r="CT29" s="286"/>
      <c r="CU29" s="277"/>
      <c r="CV29" s="277"/>
      <c r="CW29" s="277"/>
      <c r="CX29" s="277"/>
      <c r="CY29" s="277"/>
      <c r="CZ29" s="286"/>
      <c r="DA29" s="286"/>
      <c r="DB29" s="277"/>
      <c r="DC29" s="277"/>
      <c r="DD29" s="277"/>
      <c r="DE29" s="277"/>
      <c r="DF29" s="277"/>
      <c r="DG29" s="286"/>
      <c r="DH29" s="286"/>
      <c r="DI29" s="277"/>
      <c r="DJ29" s="277"/>
      <c r="DK29" s="277"/>
      <c r="DL29" s="277"/>
      <c r="DM29" s="286"/>
      <c r="DN29" s="286"/>
      <c r="DO29" s="286"/>
      <c r="DP29" s="277"/>
      <c r="DQ29" s="277"/>
      <c r="DR29" s="277"/>
      <c r="DS29" s="277"/>
      <c r="DT29" s="277"/>
      <c r="DU29" s="286"/>
      <c r="DV29" s="286"/>
      <c r="DW29" s="277"/>
      <c r="DX29" s="277"/>
      <c r="DY29" s="277"/>
      <c r="DZ29" s="277"/>
      <c r="EA29" s="277"/>
      <c r="EB29" s="286"/>
      <c r="EC29" s="286"/>
      <c r="ED29" s="277"/>
      <c r="EE29" s="277"/>
      <c r="EF29" s="277"/>
      <c r="EG29" s="277"/>
      <c r="EH29" s="277"/>
      <c r="EI29" s="286"/>
      <c r="EJ29" s="286"/>
      <c r="EK29" s="277"/>
      <c r="EL29" s="277"/>
      <c r="EM29" s="277"/>
      <c r="EN29" s="277"/>
      <c r="EO29" s="277"/>
      <c r="EP29" s="286"/>
      <c r="EQ29" s="286"/>
      <c r="ER29" s="277"/>
      <c r="ES29" s="277"/>
      <c r="ET29" s="277"/>
      <c r="EU29" s="277"/>
      <c r="EV29" s="277"/>
      <c r="EW29" s="286"/>
      <c r="EX29" s="286"/>
      <c r="EY29" s="277"/>
      <c r="EZ29" s="277"/>
      <c r="FA29" s="277"/>
      <c r="FB29" s="277"/>
      <c r="FC29" s="277"/>
      <c r="FD29" s="286"/>
      <c r="FE29" s="286"/>
      <c r="FF29" s="277"/>
      <c r="FG29" s="277"/>
      <c r="FH29" s="277"/>
      <c r="FI29" s="277"/>
      <c r="FJ29" s="277"/>
      <c r="FK29" s="286"/>
      <c r="FL29" s="286"/>
      <c r="FM29" s="277"/>
      <c r="FN29" s="277"/>
      <c r="FO29" s="277"/>
      <c r="FP29" s="277"/>
      <c r="FQ29" s="277"/>
      <c r="FR29" s="286"/>
      <c r="FS29" s="286"/>
      <c r="FT29" s="277"/>
      <c r="FU29" s="277"/>
      <c r="FV29" s="287">
        <f t="shared" si="17"/>
        <v>0</v>
      </c>
      <c r="FX29" s="278">
        <f t="shared" si="13"/>
        <v>25</v>
      </c>
      <c r="FY29" s="278">
        <f t="shared" si="13"/>
        <v>0</v>
      </c>
      <c r="FZ29" s="278" t="s">
        <v>623</v>
      </c>
      <c r="GA29" s="278" t="s">
        <v>627</v>
      </c>
      <c r="GB29" s="278">
        <f t="shared" si="14"/>
        <v>0</v>
      </c>
      <c r="GC29" s="280">
        <f t="shared" si="15"/>
        <v>0</v>
      </c>
      <c r="GD29" s="289">
        <v>47</v>
      </c>
      <c r="GE29" s="278">
        <v>1.6</v>
      </c>
      <c r="GF29" s="282">
        <f t="shared" si="16"/>
        <v>0</v>
      </c>
    </row>
    <row r="30" spans="1:188" ht="27" hidden="1" customHeight="1" x14ac:dyDescent="0.3">
      <c r="A30" s="270">
        <v>26</v>
      </c>
      <c r="B30" s="285"/>
      <c r="C30" s="272"/>
      <c r="D30" s="272"/>
      <c r="E30" s="272"/>
      <c r="F30" s="273"/>
      <c r="G30" s="273"/>
      <c r="H30" s="273"/>
      <c r="I30" s="274"/>
      <c r="J30" s="275"/>
      <c r="K30" s="275"/>
      <c r="L30" s="275"/>
      <c r="M30" s="276"/>
      <c r="N30" s="277"/>
      <c r="O30" s="277"/>
      <c r="P30" s="277"/>
      <c r="Q30" s="277"/>
      <c r="R30" s="277"/>
      <c r="S30" s="286"/>
      <c r="T30" s="286"/>
      <c r="U30" s="277"/>
      <c r="V30" s="277"/>
      <c r="W30" s="277"/>
      <c r="X30" s="277"/>
      <c r="Y30" s="277"/>
      <c r="Z30" s="286"/>
      <c r="AA30" s="286"/>
      <c r="AB30" s="277"/>
      <c r="AC30" s="277"/>
      <c r="AD30" s="277"/>
      <c r="AE30" s="277"/>
      <c r="AF30" s="277"/>
      <c r="AG30" s="286"/>
      <c r="AH30" s="286"/>
      <c r="AI30" s="277"/>
      <c r="AJ30" s="277"/>
      <c r="AK30" s="277"/>
      <c r="AL30" s="277"/>
      <c r="AM30" s="277"/>
      <c r="AN30" s="286"/>
      <c r="AO30" s="286"/>
      <c r="AP30" s="286"/>
      <c r="AQ30" s="277"/>
      <c r="AR30" s="277"/>
      <c r="AS30" s="277"/>
      <c r="AT30" s="277"/>
      <c r="AU30" s="277"/>
      <c r="AV30" s="286"/>
      <c r="AW30" s="286"/>
      <c r="AX30" s="277"/>
      <c r="AY30" s="277"/>
      <c r="AZ30" s="277"/>
      <c r="BA30" s="277"/>
      <c r="BB30" s="277"/>
      <c r="BC30" s="286"/>
      <c r="BD30" s="286"/>
      <c r="BE30" s="277"/>
      <c r="BF30" s="277"/>
      <c r="BG30" s="277"/>
      <c r="BH30" s="277"/>
      <c r="BI30" s="277"/>
      <c r="BJ30" s="286"/>
      <c r="BK30" s="286"/>
      <c r="BL30" s="277"/>
      <c r="BM30" s="277"/>
      <c r="BN30" s="277"/>
      <c r="BO30" s="277"/>
      <c r="BP30" s="277"/>
      <c r="BQ30" s="286"/>
      <c r="BR30" s="286"/>
      <c r="BS30" s="277"/>
      <c r="BT30" s="277"/>
      <c r="BU30" s="277"/>
      <c r="BV30" s="277"/>
      <c r="BW30" s="286"/>
      <c r="BX30" s="286"/>
      <c r="BY30" s="277"/>
      <c r="BZ30" s="277"/>
      <c r="CA30" s="277"/>
      <c r="CB30" s="277"/>
      <c r="CC30" s="277"/>
      <c r="CD30" s="286"/>
      <c r="CE30" s="286"/>
      <c r="CF30" s="286"/>
      <c r="CG30" s="277"/>
      <c r="CH30" s="277"/>
      <c r="CI30" s="277"/>
      <c r="CJ30" s="277"/>
      <c r="CK30" s="277"/>
      <c r="CL30" s="286"/>
      <c r="CM30" s="286"/>
      <c r="CN30" s="277"/>
      <c r="CO30" s="277"/>
      <c r="CP30" s="277"/>
      <c r="CQ30" s="277"/>
      <c r="CR30" s="277"/>
      <c r="CS30" s="286"/>
      <c r="CT30" s="286"/>
      <c r="CU30" s="277"/>
      <c r="CV30" s="277"/>
      <c r="CW30" s="277"/>
      <c r="CX30" s="277"/>
      <c r="CY30" s="277"/>
      <c r="CZ30" s="286"/>
      <c r="DA30" s="286"/>
      <c r="DB30" s="277"/>
      <c r="DC30" s="277"/>
      <c r="DD30" s="277"/>
      <c r="DE30" s="277"/>
      <c r="DF30" s="277"/>
      <c r="DG30" s="286"/>
      <c r="DH30" s="286"/>
      <c r="DI30" s="277"/>
      <c r="DJ30" s="277"/>
      <c r="DK30" s="277"/>
      <c r="DL30" s="277"/>
      <c r="DM30" s="286"/>
      <c r="DN30" s="286"/>
      <c r="DO30" s="286"/>
      <c r="DP30" s="277"/>
      <c r="DQ30" s="277"/>
      <c r="DR30" s="277"/>
      <c r="DS30" s="277"/>
      <c r="DT30" s="277"/>
      <c r="DU30" s="286"/>
      <c r="DV30" s="286"/>
      <c r="DW30" s="277"/>
      <c r="DX30" s="277"/>
      <c r="DY30" s="277"/>
      <c r="DZ30" s="277"/>
      <c r="EA30" s="277"/>
      <c r="EB30" s="286"/>
      <c r="EC30" s="286"/>
      <c r="ED30" s="277"/>
      <c r="EE30" s="277"/>
      <c r="EF30" s="277"/>
      <c r="EG30" s="277"/>
      <c r="EH30" s="277"/>
      <c r="EI30" s="286"/>
      <c r="EJ30" s="286"/>
      <c r="EK30" s="277"/>
      <c r="EL30" s="277"/>
      <c r="EM30" s="277"/>
      <c r="EN30" s="277"/>
      <c r="EO30" s="277"/>
      <c r="EP30" s="286"/>
      <c r="EQ30" s="286"/>
      <c r="ER30" s="277"/>
      <c r="ES30" s="277"/>
      <c r="ET30" s="277"/>
      <c r="EU30" s="277"/>
      <c r="EV30" s="277"/>
      <c r="EW30" s="286"/>
      <c r="EX30" s="286"/>
      <c r="EY30" s="277"/>
      <c r="EZ30" s="277"/>
      <c r="FA30" s="277"/>
      <c r="FB30" s="277"/>
      <c r="FC30" s="277"/>
      <c r="FD30" s="286"/>
      <c r="FE30" s="286"/>
      <c r="FF30" s="277"/>
      <c r="FG30" s="277"/>
      <c r="FH30" s="277"/>
      <c r="FI30" s="277"/>
      <c r="FJ30" s="277"/>
      <c r="FK30" s="286"/>
      <c r="FL30" s="286"/>
      <c r="FM30" s="277"/>
      <c r="FN30" s="277"/>
      <c r="FO30" s="277"/>
      <c r="FP30" s="277"/>
      <c r="FQ30" s="277"/>
      <c r="FR30" s="286"/>
      <c r="FS30" s="286"/>
      <c r="FT30" s="277"/>
      <c r="FU30" s="277"/>
      <c r="FV30" s="287">
        <f t="shared" si="17"/>
        <v>0</v>
      </c>
      <c r="FX30" s="278">
        <f t="shared" si="13"/>
        <v>26</v>
      </c>
      <c r="FY30" s="278">
        <f t="shared" si="13"/>
        <v>0</v>
      </c>
      <c r="FZ30" s="278" t="s">
        <v>623</v>
      </c>
      <c r="GA30" s="278" t="s">
        <v>627</v>
      </c>
      <c r="GB30" s="278">
        <f t="shared" si="14"/>
        <v>0</v>
      </c>
      <c r="GC30" s="280">
        <f t="shared" si="15"/>
        <v>0</v>
      </c>
      <c r="GD30" s="289">
        <v>47</v>
      </c>
      <c r="GE30" s="278">
        <v>1.6</v>
      </c>
      <c r="GF30" s="282">
        <f t="shared" si="16"/>
        <v>0</v>
      </c>
    </row>
    <row r="31" spans="1:188" ht="27" hidden="1" customHeight="1" x14ac:dyDescent="0.3">
      <c r="A31" s="270">
        <v>27</v>
      </c>
      <c r="B31" s="285"/>
      <c r="C31" s="272"/>
      <c r="D31" s="272"/>
      <c r="E31" s="272"/>
      <c r="F31" s="273"/>
      <c r="G31" s="273"/>
      <c r="H31" s="273"/>
      <c r="I31" s="274"/>
      <c r="J31" s="275"/>
      <c r="K31" s="275"/>
      <c r="L31" s="275"/>
      <c r="M31" s="276"/>
      <c r="N31" s="277"/>
      <c r="O31" s="277"/>
      <c r="P31" s="277"/>
      <c r="Q31" s="277"/>
      <c r="R31" s="277"/>
      <c r="S31" s="286"/>
      <c r="T31" s="286"/>
      <c r="U31" s="277"/>
      <c r="V31" s="277"/>
      <c r="W31" s="277"/>
      <c r="X31" s="277"/>
      <c r="Y31" s="277"/>
      <c r="Z31" s="286"/>
      <c r="AA31" s="286"/>
      <c r="AB31" s="277"/>
      <c r="AC31" s="277"/>
      <c r="AD31" s="277"/>
      <c r="AE31" s="277"/>
      <c r="AF31" s="277"/>
      <c r="AG31" s="286"/>
      <c r="AH31" s="286"/>
      <c r="AI31" s="277"/>
      <c r="AJ31" s="277"/>
      <c r="AK31" s="277"/>
      <c r="AL31" s="277"/>
      <c r="AM31" s="277"/>
      <c r="AN31" s="286"/>
      <c r="AO31" s="286"/>
      <c r="AP31" s="286"/>
      <c r="AQ31" s="277"/>
      <c r="AR31" s="277"/>
      <c r="AS31" s="277"/>
      <c r="AT31" s="277"/>
      <c r="AU31" s="277"/>
      <c r="AV31" s="286"/>
      <c r="AW31" s="286"/>
      <c r="AX31" s="277"/>
      <c r="AY31" s="277"/>
      <c r="AZ31" s="277"/>
      <c r="BA31" s="277"/>
      <c r="BB31" s="277"/>
      <c r="BC31" s="286"/>
      <c r="BD31" s="286"/>
      <c r="BE31" s="277"/>
      <c r="BF31" s="277"/>
      <c r="BG31" s="277"/>
      <c r="BH31" s="277"/>
      <c r="BI31" s="277"/>
      <c r="BJ31" s="286"/>
      <c r="BK31" s="286"/>
      <c r="BL31" s="277"/>
      <c r="BM31" s="277"/>
      <c r="BN31" s="277"/>
      <c r="BO31" s="277"/>
      <c r="BP31" s="277"/>
      <c r="BQ31" s="286"/>
      <c r="BR31" s="286"/>
      <c r="BS31" s="277"/>
      <c r="BT31" s="277"/>
      <c r="BU31" s="277"/>
      <c r="BV31" s="277"/>
      <c r="BW31" s="286"/>
      <c r="BX31" s="286"/>
      <c r="BY31" s="277"/>
      <c r="BZ31" s="277"/>
      <c r="CA31" s="277"/>
      <c r="CB31" s="277"/>
      <c r="CC31" s="277"/>
      <c r="CD31" s="286"/>
      <c r="CE31" s="286"/>
      <c r="CF31" s="286"/>
      <c r="CG31" s="277"/>
      <c r="CH31" s="277"/>
      <c r="CI31" s="277"/>
      <c r="CJ31" s="277"/>
      <c r="CK31" s="277"/>
      <c r="CL31" s="286"/>
      <c r="CM31" s="286"/>
      <c r="CN31" s="277"/>
      <c r="CO31" s="277"/>
      <c r="CP31" s="277"/>
      <c r="CQ31" s="277"/>
      <c r="CR31" s="277"/>
      <c r="CS31" s="286"/>
      <c r="CT31" s="286"/>
      <c r="CU31" s="277"/>
      <c r="CV31" s="277"/>
      <c r="CW31" s="277"/>
      <c r="CX31" s="277"/>
      <c r="CY31" s="277"/>
      <c r="CZ31" s="286"/>
      <c r="DA31" s="286"/>
      <c r="DB31" s="277"/>
      <c r="DC31" s="277"/>
      <c r="DD31" s="277"/>
      <c r="DE31" s="277"/>
      <c r="DF31" s="277"/>
      <c r="DG31" s="286"/>
      <c r="DH31" s="286"/>
      <c r="DI31" s="277"/>
      <c r="DJ31" s="277"/>
      <c r="DK31" s="277"/>
      <c r="DL31" s="277"/>
      <c r="DM31" s="286"/>
      <c r="DN31" s="286"/>
      <c r="DO31" s="286"/>
      <c r="DP31" s="277"/>
      <c r="DQ31" s="277"/>
      <c r="DR31" s="277"/>
      <c r="DS31" s="277"/>
      <c r="DT31" s="277"/>
      <c r="DU31" s="286"/>
      <c r="DV31" s="286"/>
      <c r="DW31" s="277"/>
      <c r="DX31" s="277"/>
      <c r="DY31" s="277"/>
      <c r="DZ31" s="277"/>
      <c r="EA31" s="277"/>
      <c r="EB31" s="286"/>
      <c r="EC31" s="286"/>
      <c r="ED31" s="277"/>
      <c r="EE31" s="277"/>
      <c r="EF31" s="277"/>
      <c r="EG31" s="277"/>
      <c r="EH31" s="277"/>
      <c r="EI31" s="286"/>
      <c r="EJ31" s="286"/>
      <c r="EK31" s="277"/>
      <c r="EL31" s="277"/>
      <c r="EM31" s="277"/>
      <c r="EN31" s="277"/>
      <c r="EO31" s="277"/>
      <c r="EP31" s="286"/>
      <c r="EQ31" s="286"/>
      <c r="ER31" s="277"/>
      <c r="ES31" s="277"/>
      <c r="ET31" s="277"/>
      <c r="EU31" s="277"/>
      <c r="EV31" s="277"/>
      <c r="EW31" s="286"/>
      <c r="EX31" s="286"/>
      <c r="EY31" s="277"/>
      <c r="EZ31" s="277"/>
      <c r="FA31" s="277"/>
      <c r="FB31" s="277"/>
      <c r="FC31" s="277"/>
      <c r="FD31" s="286"/>
      <c r="FE31" s="286"/>
      <c r="FF31" s="277"/>
      <c r="FG31" s="277"/>
      <c r="FH31" s="277"/>
      <c r="FI31" s="277"/>
      <c r="FJ31" s="277"/>
      <c r="FK31" s="286"/>
      <c r="FL31" s="286"/>
      <c r="FM31" s="277"/>
      <c r="FN31" s="277"/>
      <c r="FO31" s="277"/>
      <c r="FP31" s="277"/>
      <c r="FQ31" s="277"/>
      <c r="FR31" s="286"/>
      <c r="FS31" s="286"/>
      <c r="FT31" s="277"/>
      <c r="FU31" s="277"/>
      <c r="FV31" s="287">
        <f t="shared" si="17"/>
        <v>0</v>
      </c>
      <c r="FX31" s="278">
        <f t="shared" si="13"/>
        <v>27</v>
      </c>
      <c r="FY31" s="278">
        <f t="shared" si="13"/>
        <v>0</v>
      </c>
      <c r="FZ31" s="278" t="s">
        <v>623</v>
      </c>
      <c r="GA31" s="278" t="s">
        <v>627</v>
      </c>
      <c r="GB31" s="278">
        <f t="shared" si="14"/>
        <v>0</v>
      </c>
      <c r="GC31" s="280">
        <f t="shared" si="15"/>
        <v>0</v>
      </c>
      <c r="GD31" s="289">
        <v>47</v>
      </c>
      <c r="GE31" s="278">
        <v>1.6</v>
      </c>
      <c r="GF31" s="282">
        <f t="shared" si="16"/>
        <v>0</v>
      </c>
    </row>
    <row r="32" spans="1:188" ht="27" hidden="1" customHeight="1" x14ac:dyDescent="0.3">
      <c r="A32" s="270">
        <v>28</v>
      </c>
      <c r="B32" s="285"/>
      <c r="C32" s="272"/>
      <c r="D32" s="272"/>
      <c r="E32" s="272"/>
      <c r="F32" s="273"/>
      <c r="G32" s="273"/>
      <c r="H32" s="273"/>
      <c r="I32" s="274"/>
      <c r="J32" s="275"/>
      <c r="K32" s="275"/>
      <c r="L32" s="275"/>
      <c r="M32" s="276"/>
      <c r="N32" s="277"/>
      <c r="O32" s="277"/>
      <c r="P32" s="277"/>
      <c r="Q32" s="277"/>
      <c r="R32" s="277"/>
      <c r="S32" s="286"/>
      <c r="T32" s="286"/>
      <c r="U32" s="277"/>
      <c r="V32" s="277"/>
      <c r="W32" s="277"/>
      <c r="X32" s="277"/>
      <c r="Y32" s="277"/>
      <c r="Z32" s="286"/>
      <c r="AA32" s="286"/>
      <c r="AB32" s="277"/>
      <c r="AC32" s="277"/>
      <c r="AD32" s="277"/>
      <c r="AE32" s="277"/>
      <c r="AF32" s="277"/>
      <c r="AG32" s="286"/>
      <c r="AH32" s="286"/>
      <c r="AI32" s="277"/>
      <c r="AJ32" s="277"/>
      <c r="AK32" s="277"/>
      <c r="AL32" s="277"/>
      <c r="AM32" s="277"/>
      <c r="AN32" s="286"/>
      <c r="AO32" s="286"/>
      <c r="AP32" s="286"/>
      <c r="AQ32" s="277"/>
      <c r="AR32" s="277"/>
      <c r="AS32" s="277"/>
      <c r="AT32" s="277"/>
      <c r="AU32" s="277"/>
      <c r="AV32" s="286"/>
      <c r="AW32" s="286"/>
      <c r="AX32" s="277"/>
      <c r="AY32" s="277"/>
      <c r="AZ32" s="277"/>
      <c r="BA32" s="277"/>
      <c r="BB32" s="277"/>
      <c r="BC32" s="286"/>
      <c r="BD32" s="286"/>
      <c r="BE32" s="277"/>
      <c r="BF32" s="277"/>
      <c r="BG32" s="277"/>
      <c r="BH32" s="277"/>
      <c r="BI32" s="277"/>
      <c r="BJ32" s="286"/>
      <c r="BK32" s="286"/>
      <c r="BL32" s="277"/>
      <c r="BM32" s="277"/>
      <c r="BN32" s="277"/>
      <c r="BO32" s="277"/>
      <c r="BP32" s="277"/>
      <c r="BQ32" s="286"/>
      <c r="BR32" s="286"/>
      <c r="BS32" s="277"/>
      <c r="BT32" s="277"/>
      <c r="BU32" s="277"/>
      <c r="BV32" s="277"/>
      <c r="BW32" s="286"/>
      <c r="BX32" s="286"/>
      <c r="BY32" s="277"/>
      <c r="BZ32" s="277"/>
      <c r="CA32" s="277"/>
      <c r="CB32" s="277"/>
      <c r="CC32" s="277"/>
      <c r="CD32" s="286"/>
      <c r="CE32" s="286"/>
      <c r="CF32" s="286"/>
      <c r="CG32" s="277"/>
      <c r="CH32" s="277"/>
      <c r="CI32" s="277"/>
      <c r="CJ32" s="277"/>
      <c r="CK32" s="277"/>
      <c r="CL32" s="286"/>
      <c r="CM32" s="286"/>
      <c r="CN32" s="277"/>
      <c r="CO32" s="277"/>
      <c r="CP32" s="277"/>
      <c r="CQ32" s="277"/>
      <c r="CR32" s="277"/>
      <c r="CS32" s="286"/>
      <c r="CT32" s="286"/>
      <c r="CU32" s="277"/>
      <c r="CV32" s="277"/>
      <c r="CW32" s="277"/>
      <c r="CX32" s="277"/>
      <c r="CY32" s="277"/>
      <c r="CZ32" s="286"/>
      <c r="DA32" s="286"/>
      <c r="DB32" s="277"/>
      <c r="DC32" s="277"/>
      <c r="DD32" s="277"/>
      <c r="DE32" s="277"/>
      <c r="DF32" s="277"/>
      <c r="DG32" s="286"/>
      <c r="DH32" s="286"/>
      <c r="DI32" s="277"/>
      <c r="DJ32" s="277"/>
      <c r="DK32" s="277"/>
      <c r="DL32" s="277"/>
      <c r="DM32" s="286"/>
      <c r="DN32" s="286"/>
      <c r="DO32" s="286"/>
      <c r="DP32" s="277"/>
      <c r="DQ32" s="277"/>
      <c r="DR32" s="277"/>
      <c r="DS32" s="277"/>
      <c r="DT32" s="277"/>
      <c r="DU32" s="286"/>
      <c r="DV32" s="286"/>
      <c r="DW32" s="277"/>
      <c r="DX32" s="277"/>
      <c r="DY32" s="277"/>
      <c r="DZ32" s="277"/>
      <c r="EA32" s="277"/>
      <c r="EB32" s="286"/>
      <c r="EC32" s="286"/>
      <c r="ED32" s="277"/>
      <c r="EE32" s="277"/>
      <c r="EF32" s="277"/>
      <c r="EG32" s="277"/>
      <c r="EH32" s="277"/>
      <c r="EI32" s="286"/>
      <c r="EJ32" s="286"/>
      <c r="EK32" s="277"/>
      <c r="EL32" s="277"/>
      <c r="EM32" s="277"/>
      <c r="EN32" s="277"/>
      <c r="EO32" s="277"/>
      <c r="EP32" s="286"/>
      <c r="EQ32" s="286"/>
      <c r="ER32" s="277"/>
      <c r="ES32" s="277"/>
      <c r="ET32" s="277"/>
      <c r="EU32" s="277"/>
      <c r="EV32" s="277"/>
      <c r="EW32" s="286"/>
      <c r="EX32" s="286"/>
      <c r="EY32" s="277"/>
      <c r="EZ32" s="277"/>
      <c r="FA32" s="277"/>
      <c r="FB32" s="277"/>
      <c r="FC32" s="277"/>
      <c r="FD32" s="286"/>
      <c r="FE32" s="286"/>
      <c r="FF32" s="277"/>
      <c r="FG32" s="277"/>
      <c r="FH32" s="277"/>
      <c r="FI32" s="277"/>
      <c r="FJ32" s="277"/>
      <c r="FK32" s="286"/>
      <c r="FL32" s="286"/>
      <c r="FM32" s="277"/>
      <c r="FN32" s="277"/>
      <c r="FO32" s="277"/>
      <c r="FP32" s="277"/>
      <c r="FQ32" s="277"/>
      <c r="FR32" s="286"/>
      <c r="FS32" s="286"/>
      <c r="FT32" s="277"/>
      <c r="FU32" s="277"/>
      <c r="FV32" s="287">
        <f t="shared" si="17"/>
        <v>0</v>
      </c>
      <c r="FX32" s="278">
        <f t="shared" si="13"/>
        <v>28</v>
      </c>
      <c r="FY32" s="278">
        <f t="shared" si="13"/>
        <v>0</v>
      </c>
      <c r="FZ32" s="278" t="s">
        <v>623</v>
      </c>
      <c r="GA32" s="278" t="s">
        <v>627</v>
      </c>
      <c r="GB32" s="278">
        <f t="shared" si="14"/>
        <v>0</v>
      </c>
      <c r="GC32" s="280">
        <f t="shared" si="15"/>
        <v>0</v>
      </c>
      <c r="GD32" s="289">
        <v>47</v>
      </c>
      <c r="GE32" s="278">
        <v>1.6</v>
      </c>
      <c r="GF32" s="282">
        <f t="shared" si="16"/>
        <v>0</v>
      </c>
    </row>
    <row r="33" spans="1:194" ht="27" hidden="1" customHeight="1" x14ac:dyDescent="0.3">
      <c r="A33" s="270">
        <v>29</v>
      </c>
      <c r="B33" s="285"/>
      <c r="C33" s="272"/>
      <c r="D33" s="272"/>
      <c r="E33" s="272"/>
      <c r="F33" s="273"/>
      <c r="G33" s="273"/>
      <c r="H33" s="273"/>
      <c r="I33" s="274"/>
      <c r="J33" s="275"/>
      <c r="K33" s="275"/>
      <c r="L33" s="275"/>
      <c r="M33" s="276"/>
      <c r="N33" s="277"/>
      <c r="O33" s="277"/>
      <c r="P33" s="277"/>
      <c r="Q33" s="277"/>
      <c r="R33" s="277"/>
      <c r="S33" s="286"/>
      <c r="T33" s="286"/>
      <c r="U33" s="277"/>
      <c r="V33" s="277"/>
      <c r="W33" s="277"/>
      <c r="X33" s="277"/>
      <c r="Y33" s="277"/>
      <c r="Z33" s="286"/>
      <c r="AA33" s="286"/>
      <c r="AB33" s="277"/>
      <c r="AC33" s="277"/>
      <c r="AD33" s="277"/>
      <c r="AE33" s="277"/>
      <c r="AF33" s="277"/>
      <c r="AG33" s="286"/>
      <c r="AH33" s="286"/>
      <c r="AI33" s="277"/>
      <c r="AJ33" s="277"/>
      <c r="AK33" s="277"/>
      <c r="AL33" s="277"/>
      <c r="AM33" s="277"/>
      <c r="AN33" s="286"/>
      <c r="AO33" s="286"/>
      <c r="AP33" s="286"/>
      <c r="AQ33" s="277"/>
      <c r="AR33" s="277"/>
      <c r="AS33" s="277"/>
      <c r="AT33" s="277"/>
      <c r="AU33" s="277"/>
      <c r="AV33" s="286"/>
      <c r="AW33" s="286"/>
      <c r="AX33" s="277"/>
      <c r="AY33" s="277"/>
      <c r="AZ33" s="277"/>
      <c r="BA33" s="277"/>
      <c r="BB33" s="277"/>
      <c r="BC33" s="286"/>
      <c r="BD33" s="286"/>
      <c r="BE33" s="277"/>
      <c r="BF33" s="277"/>
      <c r="BG33" s="277"/>
      <c r="BH33" s="277"/>
      <c r="BI33" s="277"/>
      <c r="BJ33" s="286"/>
      <c r="BK33" s="286"/>
      <c r="BL33" s="277"/>
      <c r="BM33" s="277"/>
      <c r="BN33" s="277"/>
      <c r="BO33" s="277"/>
      <c r="BP33" s="277"/>
      <c r="BQ33" s="286"/>
      <c r="BR33" s="286"/>
      <c r="BS33" s="277"/>
      <c r="BT33" s="277"/>
      <c r="BU33" s="277"/>
      <c r="BV33" s="277"/>
      <c r="BW33" s="286"/>
      <c r="BX33" s="286"/>
      <c r="BY33" s="277"/>
      <c r="BZ33" s="277"/>
      <c r="CA33" s="277"/>
      <c r="CB33" s="277"/>
      <c r="CC33" s="277"/>
      <c r="CD33" s="286"/>
      <c r="CE33" s="286"/>
      <c r="CF33" s="286"/>
      <c r="CG33" s="277"/>
      <c r="CH33" s="277"/>
      <c r="CI33" s="277"/>
      <c r="CJ33" s="277"/>
      <c r="CK33" s="277"/>
      <c r="CL33" s="286"/>
      <c r="CM33" s="286"/>
      <c r="CN33" s="277"/>
      <c r="CO33" s="277"/>
      <c r="CP33" s="277"/>
      <c r="CQ33" s="277"/>
      <c r="CR33" s="277"/>
      <c r="CS33" s="286"/>
      <c r="CT33" s="286"/>
      <c r="CU33" s="277"/>
      <c r="CV33" s="277"/>
      <c r="CW33" s="277"/>
      <c r="CX33" s="277"/>
      <c r="CY33" s="277"/>
      <c r="CZ33" s="286"/>
      <c r="DA33" s="286"/>
      <c r="DB33" s="277"/>
      <c r="DC33" s="277"/>
      <c r="DD33" s="277"/>
      <c r="DE33" s="277"/>
      <c r="DF33" s="277"/>
      <c r="DG33" s="286"/>
      <c r="DH33" s="286"/>
      <c r="DI33" s="277"/>
      <c r="DJ33" s="277"/>
      <c r="DK33" s="277"/>
      <c r="DL33" s="277"/>
      <c r="DM33" s="286"/>
      <c r="DN33" s="286"/>
      <c r="DO33" s="286"/>
      <c r="DP33" s="277"/>
      <c r="DQ33" s="277"/>
      <c r="DR33" s="277"/>
      <c r="DS33" s="277"/>
      <c r="DT33" s="277"/>
      <c r="DU33" s="286"/>
      <c r="DV33" s="286"/>
      <c r="DW33" s="277"/>
      <c r="DX33" s="277"/>
      <c r="DY33" s="277"/>
      <c r="DZ33" s="277"/>
      <c r="EA33" s="277"/>
      <c r="EB33" s="286"/>
      <c r="EC33" s="286"/>
      <c r="ED33" s="277"/>
      <c r="EE33" s="277"/>
      <c r="EF33" s="277"/>
      <c r="EG33" s="277"/>
      <c r="EH33" s="277"/>
      <c r="EI33" s="286"/>
      <c r="EJ33" s="286"/>
      <c r="EK33" s="277"/>
      <c r="EL33" s="277"/>
      <c r="EM33" s="277"/>
      <c r="EN33" s="277"/>
      <c r="EO33" s="277"/>
      <c r="EP33" s="286"/>
      <c r="EQ33" s="286"/>
      <c r="ER33" s="277"/>
      <c r="ES33" s="277"/>
      <c r="ET33" s="277"/>
      <c r="EU33" s="277"/>
      <c r="EV33" s="277"/>
      <c r="EW33" s="286"/>
      <c r="EX33" s="286"/>
      <c r="EY33" s="277"/>
      <c r="EZ33" s="277"/>
      <c r="FA33" s="277"/>
      <c r="FB33" s="277"/>
      <c r="FC33" s="277"/>
      <c r="FD33" s="286"/>
      <c r="FE33" s="286"/>
      <c r="FF33" s="277"/>
      <c r="FG33" s="277"/>
      <c r="FH33" s="277"/>
      <c r="FI33" s="277"/>
      <c r="FJ33" s="277"/>
      <c r="FK33" s="286"/>
      <c r="FL33" s="286"/>
      <c r="FM33" s="277"/>
      <c r="FN33" s="277"/>
      <c r="FO33" s="277"/>
      <c r="FP33" s="277"/>
      <c r="FQ33" s="277"/>
      <c r="FR33" s="286"/>
      <c r="FS33" s="286"/>
      <c r="FT33" s="277"/>
      <c r="FU33" s="277"/>
      <c r="FV33" s="287">
        <f t="shared" si="17"/>
        <v>0</v>
      </c>
      <c r="FX33" s="278">
        <f t="shared" si="13"/>
        <v>29</v>
      </c>
      <c r="FY33" s="278">
        <f t="shared" si="13"/>
        <v>0</v>
      </c>
      <c r="FZ33" s="278" t="s">
        <v>623</v>
      </c>
      <c r="GA33" s="278" t="s">
        <v>627</v>
      </c>
      <c r="GB33" s="278">
        <f t="shared" si="14"/>
        <v>0</v>
      </c>
      <c r="GC33" s="280">
        <f t="shared" si="15"/>
        <v>0</v>
      </c>
      <c r="GD33" s="289">
        <v>47</v>
      </c>
      <c r="GE33" s="278">
        <v>1.6</v>
      </c>
      <c r="GF33" s="282">
        <f t="shared" si="16"/>
        <v>0</v>
      </c>
    </row>
    <row r="34" spans="1:194" ht="27" hidden="1" customHeight="1" x14ac:dyDescent="0.3">
      <c r="A34" s="270">
        <v>30</v>
      </c>
      <c r="B34" s="285"/>
      <c r="C34" s="272"/>
      <c r="D34" s="272"/>
      <c r="E34" s="272"/>
      <c r="F34" s="273"/>
      <c r="G34" s="273"/>
      <c r="H34" s="273"/>
      <c r="I34" s="274"/>
      <c r="J34" s="275"/>
      <c r="K34" s="275"/>
      <c r="L34" s="275"/>
      <c r="M34" s="276"/>
      <c r="N34" s="277"/>
      <c r="O34" s="277"/>
      <c r="P34" s="277"/>
      <c r="Q34" s="277"/>
      <c r="R34" s="277"/>
      <c r="S34" s="286"/>
      <c r="T34" s="286"/>
      <c r="U34" s="277"/>
      <c r="V34" s="277"/>
      <c r="W34" s="277"/>
      <c r="X34" s="277"/>
      <c r="Y34" s="277"/>
      <c r="Z34" s="286"/>
      <c r="AA34" s="286"/>
      <c r="AB34" s="277"/>
      <c r="AC34" s="277"/>
      <c r="AD34" s="277"/>
      <c r="AE34" s="277"/>
      <c r="AF34" s="277"/>
      <c r="AG34" s="286"/>
      <c r="AH34" s="286"/>
      <c r="AI34" s="277"/>
      <c r="AJ34" s="277"/>
      <c r="AK34" s="277"/>
      <c r="AL34" s="277"/>
      <c r="AM34" s="277"/>
      <c r="AN34" s="286"/>
      <c r="AO34" s="286"/>
      <c r="AP34" s="286"/>
      <c r="AQ34" s="277"/>
      <c r="AR34" s="277"/>
      <c r="AS34" s="277"/>
      <c r="AT34" s="277"/>
      <c r="AU34" s="277"/>
      <c r="AV34" s="286"/>
      <c r="AW34" s="286"/>
      <c r="AX34" s="277"/>
      <c r="AY34" s="277"/>
      <c r="AZ34" s="277"/>
      <c r="BA34" s="277"/>
      <c r="BB34" s="277"/>
      <c r="BC34" s="286"/>
      <c r="BD34" s="286"/>
      <c r="BE34" s="277"/>
      <c r="BF34" s="277"/>
      <c r="BG34" s="277"/>
      <c r="BH34" s="277"/>
      <c r="BI34" s="277"/>
      <c r="BJ34" s="286"/>
      <c r="BK34" s="286"/>
      <c r="BL34" s="277"/>
      <c r="BM34" s="277"/>
      <c r="BN34" s="277"/>
      <c r="BO34" s="277"/>
      <c r="BP34" s="277"/>
      <c r="BQ34" s="286"/>
      <c r="BR34" s="286"/>
      <c r="BS34" s="277"/>
      <c r="BT34" s="277"/>
      <c r="BU34" s="277"/>
      <c r="BV34" s="277"/>
      <c r="BW34" s="286"/>
      <c r="BX34" s="286"/>
      <c r="BY34" s="277"/>
      <c r="BZ34" s="277"/>
      <c r="CA34" s="277"/>
      <c r="CB34" s="277"/>
      <c r="CC34" s="277"/>
      <c r="CD34" s="286"/>
      <c r="CE34" s="286"/>
      <c r="CF34" s="286"/>
      <c r="CG34" s="277"/>
      <c r="CH34" s="277"/>
      <c r="CI34" s="277"/>
      <c r="CJ34" s="277"/>
      <c r="CK34" s="277"/>
      <c r="CL34" s="286"/>
      <c r="CM34" s="286"/>
      <c r="CN34" s="277"/>
      <c r="CO34" s="277"/>
      <c r="CP34" s="277"/>
      <c r="CQ34" s="277"/>
      <c r="CR34" s="277"/>
      <c r="CS34" s="286"/>
      <c r="CT34" s="286"/>
      <c r="CU34" s="277"/>
      <c r="CV34" s="277"/>
      <c r="CW34" s="277"/>
      <c r="CX34" s="277"/>
      <c r="CY34" s="277"/>
      <c r="CZ34" s="286"/>
      <c r="DA34" s="286"/>
      <c r="DB34" s="277"/>
      <c r="DC34" s="277"/>
      <c r="DD34" s="277"/>
      <c r="DE34" s="277"/>
      <c r="DF34" s="277"/>
      <c r="DG34" s="286"/>
      <c r="DH34" s="286"/>
      <c r="DI34" s="277"/>
      <c r="DJ34" s="277"/>
      <c r="DK34" s="277"/>
      <c r="DL34" s="277"/>
      <c r="DM34" s="286"/>
      <c r="DN34" s="286"/>
      <c r="DO34" s="286"/>
      <c r="DP34" s="277"/>
      <c r="DQ34" s="277"/>
      <c r="DR34" s="277"/>
      <c r="DS34" s="277"/>
      <c r="DT34" s="277"/>
      <c r="DU34" s="286"/>
      <c r="DV34" s="286"/>
      <c r="DW34" s="277"/>
      <c r="DX34" s="277"/>
      <c r="DY34" s="277"/>
      <c r="DZ34" s="277"/>
      <c r="EA34" s="277"/>
      <c r="EB34" s="286"/>
      <c r="EC34" s="286"/>
      <c r="ED34" s="277"/>
      <c r="EE34" s="277"/>
      <c r="EF34" s="277"/>
      <c r="EG34" s="277"/>
      <c r="EH34" s="277"/>
      <c r="EI34" s="286"/>
      <c r="EJ34" s="286"/>
      <c r="EK34" s="277"/>
      <c r="EL34" s="277"/>
      <c r="EM34" s="277"/>
      <c r="EN34" s="277"/>
      <c r="EO34" s="277"/>
      <c r="EP34" s="286"/>
      <c r="EQ34" s="286"/>
      <c r="ER34" s="277"/>
      <c r="ES34" s="277"/>
      <c r="ET34" s="277"/>
      <c r="EU34" s="277"/>
      <c r="EV34" s="277"/>
      <c r="EW34" s="286"/>
      <c r="EX34" s="286"/>
      <c r="EY34" s="277"/>
      <c r="EZ34" s="277"/>
      <c r="FA34" s="277"/>
      <c r="FB34" s="277"/>
      <c r="FC34" s="277"/>
      <c r="FD34" s="286"/>
      <c r="FE34" s="286"/>
      <c r="FF34" s="277"/>
      <c r="FG34" s="277"/>
      <c r="FH34" s="277"/>
      <c r="FI34" s="277"/>
      <c r="FJ34" s="277"/>
      <c r="FK34" s="286"/>
      <c r="FL34" s="286"/>
      <c r="FM34" s="277"/>
      <c r="FN34" s="277"/>
      <c r="FO34" s="277"/>
      <c r="FP34" s="277"/>
      <c r="FQ34" s="277"/>
      <c r="FR34" s="286"/>
      <c r="FS34" s="286"/>
      <c r="FT34" s="277"/>
      <c r="FU34" s="277"/>
      <c r="FV34" s="287">
        <f t="shared" si="17"/>
        <v>0</v>
      </c>
      <c r="FX34" s="278">
        <f t="shared" si="13"/>
        <v>30</v>
      </c>
      <c r="FY34" s="278">
        <f t="shared" si="13"/>
        <v>0</v>
      </c>
      <c r="FZ34" s="278" t="s">
        <v>623</v>
      </c>
      <c r="GA34" s="278" t="s">
        <v>627</v>
      </c>
      <c r="GB34" s="278">
        <f t="shared" si="14"/>
        <v>0</v>
      </c>
      <c r="GC34" s="280">
        <f t="shared" si="15"/>
        <v>0</v>
      </c>
      <c r="GD34" s="289">
        <v>47</v>
      </c>
      <c r="GE34" s="278">
        <v>1.6</v>
      </c>
      <c r="GF34" s="282">
        <f t="shared" si="16"/>
        <v>0</v>
      </c>
    </row>
    <row r="35" spans="1:194" ht="27" hidden="1" customHeight="1" thickBot="1" x14ac:dyDescent="0.35">
      <c r="A35" s="270">
        <v>19</v>
      </c>
      <c r="B35" s="285"/>
      <c r="C35" s="272"/>
      <c r="D35" s="272"/>
      <c r="E35" s="272"/>
      <c r="F35" s="273"/>
      <c r="G35" s="273"/>
      <c r="H35" s="273"/>
      <c r="I35" s="274"/>
      <c r="J35" s="275"/>
      <c r="K35" s="275"/>
      <c r="L35" s="275"/>
      <c r="M35" s="276"/>
      <c r="N35" s="277"/>
      <c r="O35" s="277"/>
      <c r="P35" s="277"/>
      <c r="Q35" s="277"/>
      <c r="R35" s="277"/>
      <c r="S35" s="286"/>
      <c r="T35" s="286"/>
      <c r="U35" s="277"/>
      <c r="V35" s="277"/>
      <c r="W35" s="277"/>
      <c r="X35" s="277"/>
      <c r="Y35" s="277"/>
      <c r="Z35" s="286"/>
      <c r="AA35" s="286"/>
      <c r="AB35" s="277"/>
      <c r="AC35" s="277"/>
      <c r="AD35" s="277"/>
      <c r="AE35" s="277"/>
      <c r="AF35" s="277"/>
      <c r="AG35" s="286"/>
      <c r="AH35" s="286"/>
      <c r="AI35" s="277"/>
      <c r="AJ35" s="277"/>
      <c r="AK35" s="277"/>
      <c r="AL35" s="277"/>
      <c r="AM35" s="277"/>
      <c r="AN35" s="286"/>
      <c r="AO35" s="286"/>
      <c r="AP35" s="286"/>
      <c r="AQ35" s="277"/>
      <c r="AR35" s="277"/>
      <c r="AS35" s="277"/>
      <c r="AT35" s="277"/>
      <c r="AU35" s="277"/>
      <c r="AV35" s="286"/>
      <c r="AW35" s="286"/>
      <c r="AX35" s="277"/>
      <c r="AY35" s="277"/>
      <c r="AZ35" s="277"/>
      <c r="BA35" s="277"/>
      <c r="BB35" s="277"/>
      <c r="BC35" s="286"/>
      <c r="BD35" s="286"/>
      <c r="BE35" s="277"/>
      <c r="BF35" s="277"/>
      <c r="BG35" s="277"/>
      <c r="BH35" s="277"/>
      <c r="BI35" s="277"/>
      <c r="BJ35" s="286"/>
      <c r="BK35" s="286"/>
      <c r="BL35" s="277"/>
      <c r="BM35" s="277"/>
      <c r="BN35" s="277"/>
      <c r="BO35" s="277"/>
      <c r="BP35" s="277"/>
      <c r="BQ35" s="286"/>
      <c r="BR35" s="286"/>
      <c r="BS35" s="277"/>
      <c r="BT35" s="277"/>
      <c r="BU35" s="277"/>
      <c r="BV35" s="277"/>
      <c r="BW35" s="286"/>
      <c r="BX35" s="286"/>
      <c r="BY35" s="277"/>
      <c r="BZ35" s="277"/>
      <c r="CA35" s="277"/>
      <c r="CB35" s="277"/>
      <c r="CC35" s="277"/>
      <c r="CD35" s="286"/>
      <c r="CE35" s="286"/>
      <c r="CF35" s="286"/>
      <c r="CG35" s="277"/>
      <c r="CH35" s="277"/>
      <c r="CI35" s="277"/>
      <c r="CJ35" s="277"/>
      <c r="CK35" s="277"/>
      <c r="CL35" s="286"/>
      <c r="CM35" s="286"/>
      <c r="CN35" s="277"/>
      <c r="CO35" s="277"/>
      <c r="CP35" s="277"/>
      <c r="CQ35" s="277"/>
      <c r="CR35" s="277"/>
      <c r="CS35" s="286"/>
      <c r="CT35" s="286"/>
      <c r="CU35" s="277"/>
      <c r="CV35" s="277"/>
      <c r="CW35" s="277"/>
      <c r="CX35" s="277"/>
      <c r="CY35" s="277"/>
      <c r="CZ35" s="286"/>
      <c r="DA35" s="286"/>
      <c r="DB35" s="277"/>
      <c r="DC35" s="277"/>
      <c r="DD35" s="277"/>
      <c r="DE35" s="277"/>
      <c r="DF35" s="277"/>
      <c r="DG35" s="286"/>
      <c r="DH35" s="286"/>
      <c r="DI35" s="277"/>
      <c r="DJ35" s="277"/>
      <c r="DK35" s="277"/>
      <c r="DL35" s="277"/>
      <c r="DM35" s="286"/>
      <c r="DN35" s="286"/>
      <c r="DO35" s="286"/>
      <c r="DP35" s="277"/>
      <c r="DQ35" s="277"/>
      <c r="DR35" s="277"/>
      <c r="DS35" s="277"/>
      <c r="DT35" s="277"/>
      <c r="DU35" s="286"/>
      <c r="DV35" s="286"/>
      <c r="DW35" s="277"/>
      <c r="DX35" s="277"/>
      <c r="DY35" s="277"/>
      <c r="DZ35" s="277"/>
      <c r="EA35" s="277"/>
      <c r="EB35" s="286"/>
      <c r="EC35" s="286"/>
      <c r="ED35" s="277"/>
      <c r="EE35" s="277"/>
      <c r="EF35" s="277"/>
      <c r="EG35" s="277"/>
      <c r="EH35" s="277"/>
      <c r="EI35" s="286"/>
      <c r="EJ35" s="286"/>
      <c r="EK35" s="277"/>
      <c r="EL35" s="277"/>
      <c r="EM35" s="277"/>
      <c r="EN35" s="277"/>
      <c r="EO35" s="277"/>
      <c r="EP35" s="286"/>
      <c r="EQ35" s="286"/>
      <c r="ER35" s="277"/>
      <c r="ES35" s="277"/>
      <c r="ET35" s="277"/>
      <c r="EU35" s="277"/>
      <c r="EV35" s="277"/>
      <c r="EW35" s="286"/>
      <c r="EX35" s="286"/>
      <c r="EY35" s="277"/>
      <c r="EZ35" s="277"/>
      <c r="FA35" s="277"/>
      <c r="FB35" s="277"/>
      <c r="FC35" s="277"/>
      <c r="FD35" s="286"/>
      <c r="FE35" s="286"/>
      <c r="FF35" s="277"/>
      <c r="FG35" s="277"/>
      <c r="FH35" s="277"/>
      <c r="FI35" s="277"/>
      <c r="FJ35" s="277"/>
      <c r="FK35" s="286"/>
      <c r="FL35" s="286"/>
      <c r="FM35" s="277"/>
      <c r="FN35" s="277"/>
      <c r="FO35" s="277"/>
      <c r="FP35" s="277"/>
      <c r="FQ35" s="277"/>
      <c r="FR35" s="286"/>
      <c r="FS35" s="286"/>
      <c r="FT35" s="277"/>
      <c r="FU35" s="277"/>
      <c r="FV35" s="287">
        <f>F35-SUM(N35:FC35)*3.1</f>
        <v>0</v>
      </c>
      <c r="FX35" s="279">
        <f t="shared" si="13"/>
        <v>19</v>
      </c>
      <c r="FY35" s="278"/>
      <c r="FZ35" s="278"/>
      <c r="GA35" s="278"/>
      <c r="GB35" s="278"/>
      <c r="GC35" s="280"/>
      <c r="GD35" s="289"/>
      <c r="GE35" s="278"/>
      <c r="GF35" s="282"/>
    </row>
    <row r="36" spans="1:194" ht="39.9" hidden="1" customHeight="1" thickTop="1" thickBot="1" x14ac:dyDescent="0.35">
      <c r="A36" s="290"/>
      <c r="B36" s="291"/>
      <c r="C36" s="291"/>
      <c r="D36" s="292"/>
      <c r="E36" s="291"/>
      <c r="F36" s="273">
        <f>SUM(F7:F35)</f>
        <v>663.81100000000015</v>
      </c>
      <c r="G36" s="273">
        <f>SUM(G7:G35)</f>
        <v>0</v>
      </c>
      <c r="H36" s="273">
        <f>SUM(H7:H35)</f>
        <v>0</v>
      </c>
      <c r="I36" s="274">
        <v>0</v>
      </c>
      <c r="J36" s="293">
        <f>SUM(J7:J35)</f>
        <v>0</v>
      </c>
      <c r="K36" s="293">
        <f>SUM(K7:K35)</f>
        <v>0</v>
      </c>
      <c r="L36" s="293">
        <f>SUM(L7:L35)</f>
        <v>0</v>
      </c>
      <c r="M36" s="294" t="s">
        <v>628</v>
      </c>
      <c r="N36" s="295">
        <f t="shared" ref="N36:AM36" si="18">SUBTOTAL(9,N7:N35)</f>
        <v>8</v>
      </c>
      <c r="O36" s="295">
        <f t="shared" si="18"/>
        <v>8</v>
      </c>
      <c r="P36" s="295">
        <f t="shared" si="18"/>
        <v>8</v>
      </c>
      <c r="Q36" s="295">
        <f t="shared" si="18"/>
        <v>8</v>
      </c>
      <c r="R36" s="295">
        <f t="shared" si="18"/>
        <v>8</v>
      </c>
      <c r="S36" s="295">
        <f t="shared" si="18"/>
        <v>0</v>
      </c>
      <c r="T36" s="295">
        <f t="shared" si="18"/>
        <v>0</v>
      </c>
      <c r="U36" s="295">
        <f t="shared" si="18"/>
        <v>8</v>
      </c>
      <c r="V36" s="295">
        <f t="shared" si="18"/>
        <v>8</v>
      </c>
      <c r="W36" s="295">
        <f t="shared" si="18"/>
        <v>8</v>
      </c>
      <c r="X36" s="295">
        <f t="shared" si="18"/>
        <v>8</v>
      </c>
      <c r="Y36" s="295">
        <f t="shared" si="18"/>
        <v>8</v>
      </c>
      <c r="Z36" s="295">
        <f t="shared" si="18"/>
        <v>0</v>
      </c>
      <c r="AA36" s="295">
        <f t="shared" si="18"/>
        <v>0</v>
      </c>
      <c r="AB36" s="295">
        <f t="shared" si="18"/>
        <v>8</v>
      </c>
      <c r="AC36" s="295">
        <f t="shared" si="18"/>
        <v>8</v>
      </c>
      <c r="AD36" s="295">
        <f t="shared" si="18"/>
        <v>8</v>
      </c>
      <c r="AE36" s="295">
        <f t="shared" si="18"/>
        <v>8</v>
      </c>
      <c r="AF36" s="295">
        <f t="shared" si="18"/>
        <v>8</v>
      </c>
      <c r="AG36" s="295">
        <f t="shared" si="18"/>
        <v>0</v>
      </c>
      <c r="AH36" s="295">
        <f t="shared" si="18"/>
        <v>0</v>
      </c>
      <c r="AI36" s="295">
        <f t="shared" si="18"/>
        <v>8</v>
      </c>
      <c r="AJ36" s="295">
        <f t="shared" si="18"/>
        <v>8</v>
      </c>
      <c r="AK36" s="295">
        <f t="shared" si="18"/>
        <v>8</v>
      </c>
      <c r="AL36" s="295">
        <f t="shared" si="18"/>
        <v>8</v>
      </c>
      <c r="AM36" s="295">
        <f t="shared" si="18"/>
        <v>8</v>
      </c>
      <c r="AN36" s="295">
        <f t="shared" ref="AN36:AS36" si="19">SUBTOTAL(9,AN7:AN35)</f>
        <v>0</v>
      </c>
      <c r="AO36" s="295">
        <f t="shared" si="19"/>
        <v>0</v>
      </c>
      <c r="AP36" s="295">
        <f t="shared" si="19"/>
        <v>8</v>
      </c>
      <c r="AQ36" s="295">
        <f t="shared" si="19"/>
        <v>8</v>
      </c>
      <c r="AR36" s="295">
        <f t="shared" si="19"/>
        <v>8</v>
      </c>
      <c r="AS36" s="295">
        <f t="shared" si="19"/>
        <v>8</v>
      </c>
      <c r="AT36" s="295">
        <f>SUBTOTAL(9,AT7:AT35)</f>
        <v>8</v>
      </c>
      <c r="AU36" s="295">
        <f t="shared" ref="AU36:BT36" si="20">SUBTOTAL(9,AU7:AU35)</f>
        <v>0</v>
      </c>
      <c r="AV36" s="295">
        <f t="shared" si="20"/>
        <v>0</v>
      </c>
      <c r="AW36" s="295">
        <f t="shared" si="20"/>
        <v>8</v>
      </c>
      <c r="AX36" s="295">
        <f t="shared" si="20"/>
        <v>8</v>
      </c>
      <c r="AY36" s="295">
        <f t="shared" si="20"/>
        <v>8</v>
      </c>
      <c r="AZ36" s="295">
        <f t="shared" si="20"/>
        <v>8</v>
      </c>
      <c r="BA36" s="295">
        <f t="shared" si="20"/>
        <v>8</v>
      </c>
      <c r="BB36" s="295">
        <f t="shared" si="20"/>
        <v>0</v>
      </c>
      <c r="BC36" s="295">
        <f t="shared" si="20"/>
        <v>0</v>
      </c>
      <c r="BD36" s="295">
        <f t="shared" si="20"/>
        <v>8</v>
      </c>
      <c r="BE36" s="295">
        <f t="shared" si="20"/>
        <v>8</v>
      </c>
      <c r="BF36" s="295">
        <f t="shared" si="20"/>
        <v>8</v>
      </c>
      <c r="BG36" s="295">
        <f t="shared" si="20"/>
        <v>8</v>
      </c>
      <c r="BH36" s="295">
        <f t="shared" si="20"/>
        <v>8</v>
      </c>
      <c r="BI36" s="295">
        <f t="shared" si="20"/>
        <v>0</v>
      </c>
      <c r="BJ36" s="295">
        <f t="shared" si="20"/>
        <v>0</v>
      </c>
      <c r="BK36" s="295">
        <f t="shared" si="20"/>
        <v>8</v>
      </c>
      <c r="BL36" s="295">
        <f t="shared" si="20"/>
        <v>8</v>
      </c>
      <c r="BM36" s="295">
        <f t="shared" si="20"/>
        <v>8</v>
      </c>
      <c r="BN36" s="295">
        <f t="shared" si="20"/>
        <v>8</v>
      </c>
      <c r="BO36" s="295">
        <f t="shared" si="20"/>
        <v>8</v>
      </c>
      <c r="BP36" s="295">
        <f t="shared" si="20"/>
        <v>0</v>
      </c>
      <c r="BQ36" s="295">
        <f t="shared" si="20"/>
        <v>0</v>
      </c>
      <c r="BR36" s="295">
        <f t="shared" si="20"/>
        <v>8</v>
      </c>
      <c r="BS36" s="295">
        <f t="shared" si="20"/>
        <v>8</v>
      </c>
      <c r="BT36" s="295">
        <f t="shared" si="20"/>
        <v>8</v>
      </c>
      <c r="BU36" s="295">
        <f t="shared" ref="BU36:CC36" si="21">SUBTOTAL(9,BU7:BU35)</f>
        <v>8</v>
      </c>
      <c r="BV36" s="295">
        <f t="shared" si="21"/>
        <v>8</v>
      </c>
      <c r="BW36" s="295">
        <f t="shared" si="21"/>
        <v>0</v>
      </c>
      <c r="BX36" s="295">
        <f t="shared" si="21"/>
        <v>0</v>
      </c>
      <c r="BY36" s="295">
        <f t="shared" si="21"/>
        <v>8</v>
      </c>
      <c r="BZ36" s="295">
        <f t="shared" si="21"/>
        <v>8</v>
      </c>
      <c r="CA36" s="295">
        <f t="shared" si="21"/>
        <v>0</v>
      </c>
      <c r="CB36" s="295">
        <f t="shared" si="21"/>
        <v>0</v>
      </c>
      <c r="CC36" s="295">
        <f t="shared" si="21"/>
        <v>0</v>
      </c>
      <c r="CD36" s="295">
        <f t="shared" ref="CD36:CI36" si="22">SUBTOTAL(9,CD7:CD35)</f>
        <v>0</v>
      </c>
      <c r="CE36" s="295">
        <f t="shared" si="22"/>
        <v>0</v>
      </c>
      <c r="CF36" s="295">
        <f t="shared" si="22"/>
        <v>0</v>
      </c>
      <c r="CG36" s="295">
        <f t="shared" si="22"/>
        <v>0</v>
      </c>
      <c r="CH36" s="295">
        <f t="shared" si="22"/>
        <v>0</v>
      </c>
      <c r="CI36" s="295">
        <f t="shared" si="22"/>
        <v>0</v>
      </c>
      <c r="CJ36" s="295">
        <f>SUBTOTAL(9,CJ7:CJ35)</f>
        <v>0</v>
      </c>
      <c r="CK36" s="295">
        <f t="shared" ref="CK36:DJ36" si="23">SUBTOTAL(9,CK7:CK35)</f>
        <v>0</v>
      </c>
      <c r="CL36" s="295">
        <f t="shared" si="23"/>
        <v>0</v>
      </c>
      <c r="CM36" s="295">
        <f t="shared" si="23"/>
        <v>0</v>
      </c>
      <c r="CN36" s="295">
        <f t="shared" si="23"/>
        <v>0</v>
      </c>
      <c r="CO36" s="295">
        <f t="shared" si="23"/>
        <v>0</v>
      </c>
      <c r="CP36" s="295">
        <f t="shared" si="23"/>
        <v>0</v>
      </c>
      <c r="CQ36" s="295">
        <f t="shared" si="23"/>
        <v>0</v>
      </c>
      <c r="CR36" s="295">
        <f t="shared" si="23"/>
        <v>0</v>
      </c>
      <c r="CS36" s="295">
        <f t="shared" si="23"/>
        <v>0</v>
      </c>
      <c r="CT36" s="295">
        <f t="shared" si="23"/>
        <v>0</v>
      </c>
      <c r="CU36" s="295">
        <f t="shared" si="23"/>
        <v>0</v>
      </c>
      <c r="CV36" s="295">
        <f t="shared" si="23"/>
        <v>0</v>
      </c>
      <c r="CW36" s="295">
        <f t="shared" si="23"/>
        <v>0</v>
      </c>
      <c r="CX36" s="295">
        <f t="shared" si="23"/>
        <v>0</v>
      </c>
      <c r="CY36" s="295">
        <f t="shared" si="23"/>
        <v>0</v>
      </c>
      <c r="CZ36" s="295">
        <f t="shared" si="23"/>
        <v>0</v>
      </c>
      <c r="DA36" s="295">
        <f t="shared" si="23"/>
        <v>0</v>
      </c>
      <c r="DB36" s="295">
        <f t="shared" si="23"/>
        <v>0</v>
      </c>
      <c r="DC36" s="295">
        <f t="shared" si="23"/>
        <v>0</v>
      </c>
      <c r="DD36" s="295">
        <f t="shared" si="23"/>
        <v>0</v>
      </c>
      <c r="DE36" s="295">
        <f t="shared" si="23"/>
        <v>0</v>
      </c>
      <c r="DF36" s="295">
        <f t="shared" si="23"/>
        <v>0</v>
      </c>
      <c r="DG36" s="295">
        <f t="shared" si="23"/>
        <v>0</v>
      </c>
      <c r="DH36" s="295">
        <f t="shared" si="23"/>
        <v>0</v>
      </c>
      <c r="DI36" s="295">
        <f t="shared" si="23"/>
        <v>0</v>
      </c>
      <c r="DJ36" s="295">
        <f t="shared" si="23"/>
        <v>0</v>
      </c>
      <c r="DK36" s="295">
        <f t="shared" ref="DK36:DS36" si="24">SUBTOTAL(9,DK7:DK35)</f>
        <v>0</v>
      </c>
      <c r="DL36" s="295">
        <f t="shared" si="24"/>
        <v>0</v>
      </c>
      <c r="DM36" s="295">
        <f t="shared" si="24"/>
        <v>0</v>
      </c>
      <c r="DN36" s="295">
        <f t="shared" si="24"/>
        <v>0</v>
      </c>
      <c r="DO36" s="295">
        <f t="shared" si="24"/>
        <v>0</v>
      </c>
      <c r="DP36" s="295">
        <f t="shared" si="24"/>
        <v>0</v>
      </c>
      <c r="DQ36" s="295">
        <f t="shared" si="24"/>
        <v>0</v>
      </c>
      <c r="DR36" s="295">
        <f t="shared" si="24"/>
        <v>0</v>
      </c>
      <c r="DS36" s="295">
        <f t="shared" si="24"/>
        <v>0</v>
      </c>
      <c r="DT36" s="295">
        <f t="shared" ref="DT36:ES36" si="25">SUBTOTAL(9,DT7:DT35)</f>
        <v>0</v>
      </c>
      <c r="DU36" s="295">
        <f t="shared" si="25"/>
        <v>0</v>
      </c>
      <c r="DV36" s="295">
        <f t="shared" si="25"/>
        <v>0</v>
      </c>
      <c r="DW36" s="295">
        <f t="shared" si="25"/>
        <v>0</v>
      </c>
      <c r="DX36" s="295">
        <f t="shared" si="25"/>
        <v>0</v>
      </c>
      <c r="DY36" s="295">
        <f t="shared" si="25"/>
        <v>0</v>
      </c>
      <c r="DZ36" s="295">
        <f t="shared" si="25"/>
        <v>0</v>
      </c>
      <c r="EA36" s="295">
        <f t="shared" si="25"/>
        <v>0</v>
      </c>
      <c r="EB36" s="295">
        <f t="shared" si="25"/>
        <v>0</v>
      </c>
      <c r="EC36" s="295">
        <f t="shared" si="25"/>
        <v>0</v>
      </c>
      <c r="ED36" s="295">
        <f t="shared" si="25"/>
        <v>0</v>
      </c>
      <c r="EE36" s="295">
        <f t="shared" si="25"/>
        <v>0</v>
      </c>
      <c r="EF36" s="295">
        <f t="shared" si="25"/>
        <v>0</v>
      </c>
      <c r="EG36" s="295">
        <f t="shared" si="25"/>
        <v>0</v>
      </c>
      <c r="EH36" s="295">
        <f t="shared" si="25"/>
        <v>0</v>
      </c>
      <c r="EI36" s="295">
        <f t="shared" si="25"/>
        <v>0</v>
      </c>
      <c r="EJ36" s="295">
        <f t="shared" si="25"/>
        <v>0</v>
      </c>
      <c r="EK36" s="295">
        <f t="shared" si="25"/>
        <v>0</v>
      </c>
      <c r="EL36" s="295">
        <f t="shared" si="25"/>
        <v>0</v>
      </c>
      <c r="EM36" s="295">
        <f t="shared" si="25"/>
        <v>0</v>
      </c>
      <c r="EN36" s="295">
        <f t="shared" si="25"/>
        <v>0</v>
      </c>
      <c r="EO36" s="295">
        <f t="shared" si="25"/>
        <v>0</v>
      </c>
      <c r="EP36" s="295">
        <f t="shared" si="25"/>
        <v>0</v>
      </c>
      <c r="EQ36" s="295">
        <f t="shared" si="25"/>
        <v>0</v>
      </c>
      <c r="ER36" s="295">
        <f t="shared" si="25"/>
        <v>0</v>
      </c>
      <c r="ES36" s="295">
        <f t="shared" si="25"/>
        <v>0</v>
      </c>
      <c r="ET36" s="295">
        <f>SUBTOTAL(9,ET7:ET35)</f>
        <v>0</v>
      </c>
      <c r="EU36" s="295">
        <f>SUBTOTAL(9,EU7:EU35)</f>
        <v>0</v>
      </c>
      <c r="EV36" s="295">
        <f>SUBTOTAL(9,EV7:EV35)</f>
        <v>0</v>
      </c>
      <c r="EW36" s="295">
        <f>SUBTOTAL(9,EW7:EW35)</f>
        <v>0</v>
      </c>
      <c r="EX36" s="295">
        <f>SUBTOTAL(9,EX7:EX35)</f>
        <v>0</v>
      </c>
      <c r="EY36" s="295">
        <f t="shared" ref="EY36:FU36" si="26">SUBTOTAL(9,EY7:EY35)</f>
        <v>0</v>
      </c>
      <c r="EZ36" s="295">
        <f t="shared" si="26"/>
        <v>0</v>
      </c>
      <c r="FA36" s="295">
        <f t="shared" si="26"/>
        <v>0</v>
      </c>
      <c r="FB36" s="295">
        <f t="shared" si="26"/>
        <v>0</v>
      </c>
      <c r="FC36" s="295">
        <f t="shared" si="26"/>
        <v>0</v>
      </c>
      <c r="FD36" s="295">
        <f t="shared" si="26"/>
        <v>0</v>
      </c>
      <c r="FE36" s="295">
        <f t="shared" si="26"/>
        <v>0</v>
      </c>
      <c r="FF36" s="295">
        <f t="shared" si="26"/>
        <v>0</v>
      </c>
      <c r="FG36" s="295">
        <f t="shared" si="26"/>
        <v>0</v>
      </c>
      <c r="FH36" s="295">
        <f t="shared" si="26"/>
        <v>0</v>
      </c>
      <c r="FI36" s="295">
        <f t="shared" si="26"/>
        <v>0</v>
      </c>
      <c r="FJ36" s="295">
        <f t="shared" si="26"/>
        <v>0</v>
      </c>
      <c r="FK36" s="295">
        <f t="shared" si="26"/>
        <v>0</v>
      </c>
      <c r="FL36" s="295">
        <f t="shared" si="26"/>
        <v>0</v>
      </c>
      <c r="FM36" s="295">
        <f t="shared" si="26"/>
        <v>0</v>
      </c>
      <c r="FN36" s="295">
        <f t="shared" si="26"/>
        <v>0</v>
      </c>
      <c r="FO36" s="295">
        <f t="shared" si="26"/>
        <v>0</v>
      </c>
      <c r="FP36" s="295">
        <f t="shared" si="26"/>
        <v>0</v>
      </c>
      <c r="FQ36" s="295">
        <f t="shared" si="26"/>
        <v>0</v>
      </c>
      <c r="FR36" s="295">
        <f t="shared" si="26"/>
        <v>0</v>
      </c>
      <c r="FS36" s="295">
        <f t="shared" si="26"/>
        <v>0</v>
      </c>
      <c r="FT36" s="295">
        <f t="shared" si="26"/>
        <v>0</v>
      </c>
      <c r="FU36" s="295">
        <f t="shared" si="26"/>
        <v>0</v>
      </c>
      <c r="FX36" s="296" t="s">
        <v>629</v>
      </c>
      <c r="FY36" s="297"/>
      <c r="FZ36" s="297"/>
      <c r="GA36" s="297"/>
      <c r="GB36" s="297"/>
      <c r="GC36" s="298">
        <f>SUM(GC6:GC35)</f>
        <v>3760</v>
      </c>
      <c r="GD36" s="297"/>
      <c r="GE36" s="297"/>
      <c r="GF36" s="299">
        <f>SUM(GF7:GF35)</f>
        <v>194749.2</v>
      </c>
      <c r="GH36" s="967"/>
      <c r="GI36" s="967"/>
      <c r="GJ36" s="967"/>
      <c r="GK36" s="967"/>
      <c r="GL36" s="967"/>
    </row>
    <row r="37" spans="1:194" ht="24.75" hidden="1" customHeight="1" thickTop="1" x14ac:dyDescent="0.3">
      <c r="A37" s="290"/>
      <c r="B37" s="291"/>
      <c r="C37" s="291"/>
      <c r="D37" s="292"/>
      <c r="E37" s="291"/>
      <c r="F37" s="291"/>
      <c r="G37" s="291"/>
      <c r="H37" s="291"/>
      <c r="I37" s="291"/>
      <c r="J37" s="293"/>
      <c r="K37" s="293"/>
      <c r="L37" s="293"/>
      <c r="M37" s="300"/>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c r="BD37" s="301"/>
      <c r="BE37" s="301"/>
      <c r="BF37" s="301"/>
      <c r="BG37" s="301"/>
      <c r="BH37" s="301"/>
      <c r="BI37" s="301"/>
      <c r="BJ37" s="301"/>
      <c r="BK37" s="301"/>
      <c r="BL37" s="301"/>
      <c r="BM37" s="301"/>
      <c r="BN37" s="301"/>
      <c r="BO37" s="301"/>
      <c r="BP37" s="301"/>
      <c r="BQ37" s="301"/>
      <c r="BR37" s="301"/>
      <c r="BS37" s="301"/>
      <c r="BT37" s="301"/>
      <c r="BU37" s="301"/>
      <c r="BV37" s="301"/>
      <c r="BW37" s="301"/>
      <c r="BX37" s="301"/>
      <c r="BY37" s="301"/>
      <c r="BZ37" s="301"/>
      <c r="CA37" s="301"/>
      <c r="CB37" s="301"/>
      <c r="CC37" s="301"/>
      <c r="CD37" s="301"/>
      <c r="CE37" s="301"/>
      <c r="CF37" s="301"/>
      <c r="CG37" s="301"/>
      <c r="CH37" s="301"/>
      <c r="CI37" s="301"/>
      <c r="CJ37" s="301"/>
      <c r="CK37" s="301"/>
      <c r="CL37" s="301"/>
      <c r="CM37" s="301"/>
      <c r="CN37" s="301"/>
      <c r="CO37" s="301"/>
      <c r="CP37" s="301"/>
      <c r="CQ37" s="301"/>
      <c r="CR37" s="301"/>
      <c r="CS37" s="301"/>
      <c r="CT37" s="301"/>
      <c r="CU37" s="301"/>
      <c r="CV37" s="301"/>
      <c r="CW37" s="301"/>
      <c r="CX37" s="301"/>
      <c r="CY37" s="301"/>
      <c r="CZ37" s="301"/>
      <c r="DA37" s="301"/>
      <c r="DB37" s="301"/>
      <c r="DC37" s="301"/>
      <c r="DD37" s="301"/>
      <c r="DE37" s="301"/>
      <c r="DF37" s="301"/>
      <c r="DG37" s="301"/>
      <c r="DH37" s="301"/>
      <c r="DI37" s="301"/>
      <c r="DJ37" s="301"/>
      <c r="DK37" s="301"/>
      <c r="DL37" s="301"/>
      <c r="DM37" s="301"/>
      <c r="DN37" s="301"/>
      <c r="DO37" s="301"/>
      <c r="DP37" s="301"/>
      <c r="DQ37" s="301"/>
      <c r="DR37" s="301"/>
      <c r="DS37" s="301"/>
      <c r="DT37" s="301"/>
      <c r="DU37" s="301"/>
      <c r="DV37" s="301"/>
      <c r="DW37" s="301"/>
      <c r="DX37" s="301"/>
      <c r="DY37" s="301"/>
      <c r="DZ37" s="301"/>
      <c r="EA37" s="301"/>
      <c r="EB37" s="301"/>
      <c r="EC37" s="301"/>
      <c r="ED37" s="301"/>
      <c r="EE37" s="301"/>
      <c r="EF37" s="301"/>
      <c r="EG37" s="301"/>
      <c r="EH37" s="301"/>
      <c r="EI37" s="301"/>
      <c r="EJ37" s="301"/>
      <c r="EK37" s="301"/>
      <c r="EL37" s="301"/>
      <c r="EM37" s="301"/>
      <c r="EN37" s="301"/>
      <c r="EO37" s="301"/>
      <c r="EP37" s="301"/>
      <c r="EQ37" s="301"/>
      <c r="ER37" s="301"/>
      <c r="ES37" s="301"/>
      <c r="ET37" s="301"/>
      <c r="EU37" s="301"/>
      <c r="EV37" s="301"/>
      <c r="EW37" s="301"/>
      <c r="EX37" s="301"/>
      <c r="EY37" s="301"/>
      <c r="EZ37" s="301"/>
      <c r="FA37" s="301"/>
      <c r="FB37" s="301"/>
      <c r="FC37" s="301"/>
      <c r="FD37" s="301"/>
      <c r="FE37" s="301"/>
      <c r="FF37" s="301"/>
      <c r="FG37" s="301"/>
      <c r="FH37" s="301"/>
      <c r="FI37" s="301"/>
      <c r="FJ37" s="301"/>
      <c r="FK37" s="301"/>
      <c r="FL37" s="301"/>
      <c r="FM37" s="301"/>
      <c r="FN37" s="301"/>
      <c r="FO37" s="301"/>
      <c r="FP37" s="301"/>
      <c r="FQ37" s="301"/>
      <c r="FR37" s="301"/>
      <c r="FS37" s="301"/>
      <c r="FT37" s="301"/>
      <c r="FU37" s="301"/>
      <c r="GC37" s="302"/>
      <c r="GF37" s="303"/>
    </row>
    <row r="38" spans="1:194" ht="39.9" hidden="1" customHeight="1" x14ac:dyDescent="0.3">
      <c r="A38" s="304">
        <v>1</v>
      </c>
      <c r="B38" s="305" t="s">
        <v>630</v>
      </c>
      <c r="C38" s="305"/>
      <c r="D38" s="305"/>
      <c r="E38" s="305"/>
      <c r="F38" s="305"/>
      <c r="G38" s="305"/>
      <c r="H38" s="305"/>
      <c r="I38" s="305"/>
      <c r="J38" s="305"/>
      <c r="K38" s="305"/>
      <c r="L38" s="305"/>
      <c r="M38" s="305"/>
      <c r="N38" s="306">
        <v>0.5</v>
      </c>
      <c r="O38" s="306">
        <v>0.5</v>
      </c>
      <c r="P38" s="306">
        <v>0.5</v>
      </c>
      <c r="Q38" s="306">
        <v>0.5</v>
      </c>
      <c r="R38" s="306">
        <v>0.5</v>
      </c>
      <c r="S38" s="306"/>
      <c r="T38" s="277"/>
      <c r="U38" s="306">
        <v>0.5</v>
      </c>
      <c r="V38" s="306">
        <v>0.5</v>
      </c>
      <c r="W38" s="306">
        <v>0.5</v>
      </c>
      <c r="X38" s="306">
        <v>0.5</v>
      </c>
      <c r="Y38" s="306">
        <v>0.5</v>
      </c>
      <c r="Z38" s="306"/>
      <c r="AA38" s="277"/>
      <c r="AB38" s="306">
        <v>0.5</v>
      </c>
      <c r="AC38" s="306">
        <v>0.5</v>
      </c>
      <c r="AD38" s="306">
        <v>0.5</v>
      </c>
      <c r="AE38" s="306">
        <v>0.5</v>
      </c>
      <c r="AF38" s="306">
        <v>0.5</v>
      </c>
      <c r="AG38" s="306"/>
      <c r="AH38" s="277"/>
      <c r="AI38" s="306">
        <v>0.5</v>
      </c>
      <c r="AJ38" s="306">
        <v>0.5</v>
      </c>
      <c r="AK38" s="306">
        <v>0.5</v>
      </c>
      <c r="AL38" s="306">
        <v>0.5</v>
      </c>
      <c r="AM38" s="306">
        <v>0.5</v>
      </c>
      <c r="AN38" s="306"/>
      <c r="AO38" s="277"/>
      <c r="AP38" s="306">
        <v>0.5</v>
      </c>
      <c r="AQ38" s="306">
        <v>0.5</v>
      </c>
      <c r="AR38" s="306">
        <v>0.5</v>
      </c>
      <c r="AS38" s="306">
        <v>0.5</v>
      </c>
      <c r="AT38" s="306">
        <v>0.5</v>
      </c>
      <c r="AU38" s="306"/>
      <c r="AV38" s="277"/>
      <c r="AW38" s="306">
        <v>0.5</v>
      </c>
      <c r="AX38" s="306">
        <v>0.5</v>
      </c>
      <c r="AY38" s="306">
        <v>0.5</v>
      </c>
      <c r="AZ38" s="306">
        <v>0.5</v>
      </c>
      <c r="BA38" s="306">
        <v>0.5</v>
      </c>
      <c r="BB38" s="306"/>
      <c r="BC38" s="277"/>
      <c r="BD38" s="306">
        <v>0.5</v>
      </c>
      <c r="BE38" s="306">
        <v>0.5</v>
      </c>
      <c r="BF38" s="306">
        <v>0.5</v>
      </c>
      <c r="BG38" s="306">
        <v>0.5</v>
      </c>
      <c r="BH38" s="306">
        <v>0.5</v>
      </c>
      <c r="BI38" s="306"/>
      <c r="BJ38" s="277"/>
      <c r="BK38" s="306">
        <v>0.5</v>
      </c>
      <c r="BL38" s="306">
        <v>0.5</v>
      </c>
      <c r="BM38" s="306">
        <v>0.5</v>
      </c>
      <c r="BN38" s="306">
        <v>0.5</v>
      </c>
      <c r="BO38" s="306">
        <v>0.5</v>
      </c>
      <c r="BP38" s="306"/>
      <c r="BQ38" s="277"/>
      <c r="BR38" s="306">
        <v>0.5</v>
      </c>
      <c r="BS38" s="306">
        <v>0.5</v>
      </c>
      <c r="BT38" s="306">
        <v>0.5</v>
      </c>
      <c r="BU38" s="306">
        <v>0.5</v>
      </c>
      <c r="BV38" s="306">
        <v>0.5</v>
      </c>
      <c r="BW38" s="306"/>
      <c r="BX38" s="277"/>
      <c r="BY38" s="306">
        <v>0.5</v>
      </c>
      <c r="BZ38" s="306">
        <v>0.5</v>
      </c>
      <c r="CA38" s="306"/>
      <c r="CB38" s="306"/>
      <c r="CC38" s="306"/>
      <c r="CD38" s="306"/>
      <c r="CE38" s="277"/>
      <c r="CF38" s="306"/>
      <c r="CG38" s="306"/>
      <c r="CH38" s="306"/>
      <c r="CI38" s="306"/>
      <c r="CJ38" s="306"/>
      <c r="CK38" s="306"/>
      <c r="CL38" s="277"/>
      <c r="CM38" s="306"/>
      <c r="CN38" s="306"/>
      <c r="CO38" s="306"/>
      <c r="CP38" s="306"/>
      <c r="CQ38" s="306"/>
      <c r="CR38" s="306"/>
      <c r="CS38" s="277"/>
      <c r="CT38" s="306"/>
      <c r="CU38" s="306"/>
      <c r="CV38" s="306"/>
      <c r="CW38" s="306"/>
      <c r="CX38" s="306"/>
      <c r="CY38" s="306"/>
      <c r="CZ38" s="277"/>
      <c r="DA38" s="306"/>
      <c r="DB38" s="306"/>
      <c r="DC38" s="306"/>
      <c r="DD38" s="306"/>
      <c r="DE38" s="306"/>
      <c r="DF38" s="306"/>
      <c r="DG38" s="277"/>
      <c r="DH38" s="306"/>
      <c r="DI38" s="306"/>
      <c r="DJ38" s="306"/>
      <c r="DK38" s="306"/>
      <c r="DL38" s="306"/>
      <c r="DM38" s="306"/>
      <c r="DN38" s="277"/>
      <c r="DO38" s="306"/>
      <c r="DP38" s="306"/>
      <c r="DQ38" s="306"/>
      <c r="DR38" s="306"/>
      <c r="DS38" s="306"/>
      <c r="DT38" s="306"/>
      <c r="DU38" s="277"/>
      <c r="DV38" s="306"/>
      <c r="DW38" s="306"/>
      <c r="DX38" s="306"/>
      <c r="DY38" s="306"/>
      <c r="DZ38" s="306"/>
      <c r="EA38" s="306"/>
      <c r="EB38" s="277"/>
      <c r="EC38" s="306"/>
      <c r="ED38" s="306"/>
      <c r="EE38" s="306"/>
      <c r="EF38" s="306"/>
      <c r="EG38" s="306"/>
      <c r="EH38" s="306"/>
      <c r="EI38" s="277"/>
      <c r="EJ38" s="306"/>
      <c r="EK38" s="306"/>
      <c r="EL38" s="306"/>
      <c r="EM38" s="306"/>
      <c r="EN38" s="306"/>
      <c r="EO38" s="306"/>
      <c r="EP38" s="277"/>
      <c r="EQ38" s="306"/>
      <c r="ER38" s="306"/>
      <c r="ES38" s="306"/>
      <c r="ET38" s="306"/>
      <c r="EU38" s="306"/>
      <c r="EV38" s="306"/>
      <c r="EW38" s="277"/>
      <c r="EX38" s="306"/>
      <c r="EY38" s="306"/>
      <c r="EZ38" s="306"/>
      <c r="FA38" s="306"/>
      <c r="FB38" s="306"/>
      <c r="FC38" s="306"/>
      <c r="FD38" s="277"/>
      <c r="FE38" s="306"/>
      <c r="FF38" s="306"/>
      <c r="FG38" s="306"/>
      <c r="FH38" s="306"/>
      <c r="FI38" s="306"/>
      <c r="FJ38" s="306"/>
      <c r="FK38" s="277"/>
      <c r="FL38" s="306"/>
      <c r="FM38" s="306"/>
      <c r="FN38" s="306"/>
      <c r="FO38" s="306"/>
      <c r="FP38" s="306"/>
      <c r="FQ38" s="306"/>
      <c r="FR38" s="277"/>
      <c r="FS38" s="306"/>
      <c r="FT38" s="306"/>
      <c r="FU38" s="306"/>
      <c r="FX38" s="278">
        <f>A38</f>
        <v>1</v>
      </c>
      <c r="FY38" s="968" t="s">
        <v>631</v>
      </c>
      <c r="FZ38" s="969"/>
      <c r="GA38" s="970"/>
      <c r="GB38" s="278">
        <f>SUM(N38:FU38)</f>
        <v>23.5</v>
      </c>
      <c r="GC38" s="280">
        <f>GB38*10</f>
        <v>235</v>
      </c>
      <c r="GD38" s="281">
        <v>80.569999999999993</v>
      </c>
      <c r="GE38" s="278">
        <v>1</v>
      </c>
      <c r="GF38" s="282">
        <f>GC38*GD38*GE38</f>
        <v>18933.949999999997</v>
      </c>
      <c r="GI38" s="964"/>
      <c r="GJ38" s="964"/>
      <c r="GK38" s="964"/>
    </row>
    <row r="39" spans="1:194" ht="39.9" hidden="1" customHeight="1" x14ac:dyDescent="0.3">
      <c r="A39" s="304">
        <v>2</v>
      </c>
      <c r="B39" s="305" t="s">
        <v>632</v>
      </c>
      <c r="C39" s="305"/>
      <c r="D39" s="305"/>
      <c r="E39" s="305"/>
      <c r="F39" s="305"/>
      <c r="G39" s="305"/>
      <c r="H39" s="305"/>
      <c r="I39" s="305"/>
      <c r="J39" s="305"/>
      <c r="K39" s="305"/>
      <c r="L39" s="305"/>
      <c r="M39" s="305"/>
      <c r="N39" s="306">
        <v>1</v>
      </c>
      <c r="O39" s="306">
        <v>1</v>
      </c>
      <c r="P39" s="306">
        <v>1</v>
      </c>
      <c r="Q39" s="306">
        <v>1</v>
      </c>
      <c r="R39" s="306">
        <v>1</v>
      </c>
      <c r="S39" s="306"/>
      <c r="T39" s="277"/>
      <c r="U39" s="306">
        <v>1</v>
      </c>
      <c r="V39" s="306">
        <v>1</v>
      </c>
      <c r="W39" s="306">
        <v>1</v>
      </c>
      <c r="X39" s="306">
        <v>1</v>
      </c>
      <c r="Y39" s="306">
        <v>1</v>
      </c>
      <c r="Z39" s="306"/>
      <c r="AA39" s="277"/>
      <c r="AB39" s="306">
        <v>1</v>
      </c>
      <c r="AC39" s="306">
        <v>1</v>
      </c>
      <c r="AD39" s="306">
        <v>1</v>
      </c>
      <c r="AE39" s="306">
        <v>1</v>
      </c>
      <c r="AF39" s="306">
        <v>1</v>
      </c>
      <c r="AG39" s="306"/>
      <c r="AH39" s="277"/>
      <c r="AI39" s="306">
        <v>1</v>
      </c>
      <c r="AJ39" s="306">
        <v>1</v>
      </c>
      <c r="AK39" s="306">
        <v>1</v>
      </c>
      <c r="AL39" s="306">
        <v>1</v>
      </c>
      <c r="AM39" s="306">
        <v>1</v>
      </c>
      <c r="AN39" s="306"/>
      <c r="AO39" s="277"/>
      <c r="AP39" s="306">
        <v>1</v>
      </c>
      <c r="AQ39" s="306">
        <v>1</v>
      </c>
      <c r="AR39" s="306">
        <v>1</v>
      </c>
      <c r="AS39" s="306">
        <v>1</v>
      </c>
      <c r="AT39" s="306">
        <v>1</v>
      </c>
      <c r="AU39" s="306"/>
      <c r="AV39" s="277"/>
      <c r="AW39" s="306">
        <v>1</v>
      </c>
      <c r="AX39" s="306">
        <v>1</v>
      </c>
      <c r="AY39" s="306">
        <v>1</v>
      </c>
      <c r="AZ39" s="306">
        <v>1</v>
      </c>
      <c r="BA39" s="306">
        <v>1</v>
      </c>
      <c r="BB39" s="306"/>
      <c r="BC39" s="277"/>
      <c r="BD39" s="306">
        <v>1</v>
      </c>
      <c r="BE39" s="306">
        <v>1</v>
      </c>
      <c r="BF39" s="306">
        <v>1</v>
      </c>
      <c r="BG39" s="306">
        <v>1</v>
      </c>
      <c r="BH39" s="306">
        <v>1</v>
      </c>
      <c r="BI39" s="306"/>
      <c r="BJ39" s="277"/>
      <c r="BK39" s="306">
        <v>1</v>
      </c>
      <c r="BL39" s="306">
        <v>1</v>
      </c>
      <c r="BM39" s="306">
        <v>1</v>
      </c>
      <c r="BN39" s="306">
        <v>1</v>
      </c>
      <c r="BO39" s="306">
        <v>1</v>
      </c>
      <c r="BP39" s="306"/>
      <c r="BQ39" s="277"/>
      <c r="BR39" s="306">
        <v>1</v>
      </c>
      <c r="BS39" s="306">
        <v>1</v>
      </c>
      <c r="BT39" s="306">
        <v>1</v>
      </c>
      <c r="BU39" s="306">
        <v>1</v>
      </c>
      <c r="BV39" s="306">
        <v>1</v>
      </c>
      <c r="BW39" s="306"/>
      <c r="BX39" s="277"/>
      <c r="BY39" s="306">
        <v>1</v>
      </c>
      <c r="BZ39" s="306">
        <v>1</v>
      </c>
      <c r="CA39" s="306"/>
      <c r="CB39" s="306"/>
      <c r="CC39" s="306"/>
      <c r="CD39" s="306"/>
      <c r="CE39" s="277"/>
      <c r="CF39" s="306"/>
      <c r="CG39" s="306"/>
      <c r="CH39" s="306"/>
      <c r="CI39" s="306"/>
      <c r="CJ39" s="306"/>
      <c r="CK39" s="306"/>
      <c r="CL39" s="277"/>
      <c r="CM39" s="306"/>
      <c r="CN39" s="306"/>
      <c r="CO39" s="306"/>
      <c r="CP39" s="306"/>
      <c r="CQ39" s="306"/>
      <c r="CR39" s="306"/>
      <c r="CS39" s="277"/>
      <c r="CT39" s="306"/>
      <c r="CU39" s="306"/>
      <c r="CV39" s="306"/>
      <c r="CW39" s="306"/>
      <c r="CX39" s="306"/>
      <c r="CY39" s="306"/>
      <c r="CZ39" s="277"/>
      <c r="DA39" s="306"/>
      <c r="DB39" s="306"/>
      <c r="DC39" s="306"/>
      <c r="DD39" s="306"/>
      <c r="DE39" s="306"/>
      <c r="DF39" s="306"/>
      <c r="DG39" s="277"/>
      <c r="DH39" s="306"/>
      <c r="DI39" s="306"/>
      <c r="DJ39" s="306"/>
      <c r="DK39" s="306"/>
      <c r="DL39" s="306"/>
      <c r="DM39" s="306"/>
      <c r="DN39" s="277"/>
      <c r="DO39" s="306"/>
      <c r="DP39" s="306"/>
      <c r="DQ39" s="306"/>
      <c r="DR39" s="306"/>
      <c r="DS39" s="306"/>
      <c r="DT39" s="306"/>
      <c r="DU39" s="277"/>
      <c r="DV39" s="306"/>
      <c r="DW39" s="306"/>
      <c r="DX39" s="306"/>
      <c r="DY39" s="306"/>
      <c r="DZ39" s="306"/>
      <c r="EA39" s="306"/>
      <c r="EB39" s="277"/>
      <c r="EC39" s="306"/>
      <c r="ED39" s="306"/>
      <c r="EE39" s="306"/>
      <c r="EF39" s="306"/>
      <c r="EG39" s="306"/>
      <c r="EH39" s="306"/>
      <c r="EI39" s="277"/>
      <c r="EJ39" s="306"/>
      <c r="EK39" s="306"/>
      <c r="EL39" s="306"/>
      <c r="EM39" s="306"/>
      <c r="EN39" s="306"/>
      <c r="EO39" s="306"/>
      <c r="EP39" s="277"/>
      <c r="EQ39" s="306"/>
      <c r="ER39" s="306"/>
      <c r="ES39" s="306"/>
      <c r="ET39" s="306"/>
      <c r="EU39" s="306"/>
      <c r="EV39" s="306"/>
      <c r="EW39" s="277"/>
      <c r="EX39" s="306"/>
      <c r="EY39" s="306"/>
      <c r="EZ39" s="306"/>
      <c r="FA39" s="306"/>
      <c r="FB39" s="306"/>
      <c r="FC39" s="306"/>
      <c r="FD39" s="277"/>
      <c r="FE39" s="306"/>
      <c r="FF39" s="306"/>
      <c r="FG39" s="306"/>
      <c r="FH39" s="306"/>
      <c r="FI39" s="306"/>
      <c r="FJ39" s="306"/>
      <c r="FK39" s="277"/>
      <c r="FL39" s="306"/>
      <c r="FM39" s="306"/>
      <c r="FN39" s="306"/>
      <c r="FO39" s="306"/>
      <c r="FP39" s="306"/>
      <c r="FQ39" s="306"/>
      <c r="FR39" s="277"/>
      <c r="FS39" s="306"/>
      <c r="FT39" s="306"/>
      <c r="FU39" s="306"/>
      <c r="FX39" s="278">
        <f>A39</f>
        <v>2</v>
      </c>
      <c r="FY39" s="968" t="s">
        <v>633</v>
      </c>
      <c r="FZ39" s="969"/>
      <c r="GA39" s="970"/>
      <c r="GB39" s="278">
        <f>SUM(N39:FU39)</f>
        <v>47</v>
      </c>
      <c r="GC39" s="280">
        <f>GB39*10</f>
        <v>470</v>
      </c>
      <c r="GD39" s="281">
        <v>61.003</v>
      </c>
      <c r="GE39" s="278">
        <v>1</v>
      </c>
      <c r="GF39" s="282">
        <f>GC39*GD39*GE39</f>
        <v>28671.41</v>
      </c>
      <c r="GI39" s="964"/>
      <c r="GJ39" s="964"/>
      <c r="GK39" s="964"/>
    </row>
    <row r="40" spans="1:194" ht="39.9" hidden="1" customHeight="1" thickBot="1" x14ac:dyDescent="0.35">
      <c r="A40" s="304">
        <v>3</v>
      </c>
      <c r="B40" s="305" t="s">
        <v>634</v>
      </c>
      <c r="C40" s="305"/>
      <c r="D40" s="305"/>
      <c r="E40" s="305"/>
      <c r="F40" s="305"/>
      <c r="G40" s="305"/>
      <c r="H40" s="305"/>
      <c r="I40" s="305"/>
      <c r="J40" s="305"/>
      <c r="K40" s="305"/>
      <c r="L40" s="305"/>
      <c r="M40" s="305"/>
      <c r="N40" s="306">
        <v>0.5</v>
      </c>
      <c r="O40" s="306">
        <v>0.5</v>
      </c>
      <c r="P40" s="306">
        <v>0.5</v>
      </c>
      <c r="Q40" s="306">
        <v>0.5</v>
      </c>
      <c r="R40" s="306">
        <v>0.5</v>
      </c>
      <c r="S40" s="306"/>
      <c r="T40" s="277"/>
      <c r="U40" s="306">
        <v>0.5</v>
      </c>
      <c r="V40" s="306">
        <v>0.5</v>
      </c>
      <c r="W40" s="306">
        <v>0.5</v>
      </c>
      <c r="X40" s="306">
        <v>0.5</v>
      </c>
      <c r="Y40" s="306">
        <v>0.5</v>
      </c>
      <c r="Z40" s="306"/>
      <c r="AA40" s="277"/>
      <c r="AB40" s="306">
        <v>0.5</v>
      </c>
      <c r="AC40" s="306">
        <v>0.5</v>
      </c>
      <c r="AD40" s="306">
        <v>0.5</v>
      </c>
      <c r="AE40" s="306">
        <v>0.5</v>
      </c>
      <c r="AF40" s="306">
        <v>0.5</v>
      </c>
      <c r="AG40" s="306"/>
      <c r="AH40" s="277"/>
      <c r="AI40" s="306">
        <v>0.5</v>
      </c>
      <c r="AJ40" s="306">
        <v>0.5</v>
      </c>
      <c r="AK40" s="306">
        <v>0.5</v>
      </c>
      <c r="AL40" s="306">
        <v>0.5</v>
      </c>
      <c r="AM40" s="306">
        <v>0.5</v>
      </c>
      <c r="AN40" s="306"/>
      <c r="AO40" s="277"/>
      <c r="AP40" s="306">
        <v>0.5</v>
      </c>
      <c r="AQ40" s="306">
        <v>0.5</v>
      </c>
      <c r="AR40" s="306">
        <v>0.5</v>
      </c>
      <c r="AS40" s="306">
        <v>0.5</v>
      </c>
      <c r="AT40" s="306">
        <v>0.5</v>
      </c>
      <c r="AU40" s="306"/>
      <c r="AV40" s="277"/>
      <c r="AW40" s="306">
        <v>0.5</v>
      </c>
      <c r="AX40" s="306">
        <v>0.5</v>
      </c>
      <c r="AY40" s="306">
        <v>0.5</v>
      </c>
      <c r="AZ40" s="306">
        <v>0.5</v>
      </c>
      <c r="BA40" s="306">
        <v>0.5</v>
      </c>
      <c r="BB40" s="306"/>
      <c r="BC40" s="277"/>
      <c r="BD40" s="306">
        <v>0.5</v>
      </c>
      <c r="BE40" s="306">
        <v>0.5</v>
      </c>
      <c r="BF40" s="306">
        <v>0.5</v>
      </c>
      <c r="BG40" s="306">
        <v>0.5</v>
      </c>
      <c r="BH40" s="306">
        <v>0.5</v>
      </c>
      <c r="BI40" s="306"/>
      <c r="BJ40" s="277"/>
      <c r="BK40" s="306">
        <v>0.5</v>
      </c>
      <c r="BL40" s="306">
        <v>0.5</v>
      </c>
      <c r="BM40" s="306">
        <v>0.5</v>
      </c>
      <c r="BN40" s="306">
        <v>0.5</v>
      </c>
      <c r="BO40" s="306">
        <v>0.5</v>
      </c>
      <c r="BP40" s="306"/>
      <c r="BQ40" s="277"/>
      <c r="BR40" s="306">
        <v>0.5</v>
      </c>
      <c r="BS40" s="306">
        <v>0.5</v>
      </c>
      <c r="BT40" s="306">
        <v>0.5</v>
      </c>
      <c r="BU40" s="306">
        <v>0.5</v>
      </c>
      <c r="BV40" s="306">
        <v>0.5</v>
      </c>
      <c r="BW40" s="306"/>
      <c r="BX40" s="277"/>
      <c r="BY40" s="306">
        <v>0.5</v>
      </c>
      <c r="BZ40" s="306">
        <v>0.5</v>
      </c>
      <c r="CA40" s="306"/>
      <c r="CB40" s="306"/>
      <c r="CC40" s="306"/>
      <c r="CD40" s="306"/>
      <c r="CE40" s="277"/>
      <c r="CF40" s="306"/>
      <c r="CG40" s="306"/>
      <c r="CH40" s="306"/>
      <c r="CI40" s="306"/>
      <c r="CJ40" s="306"/>
      <c r="CK40" s="306"/>
      <c r="CL40" s="277"/>
      <c r="CM40" s="306"/>
      <c r="CN40" s="306"/>
      <c r="CO40" s="306"/>
      <c r="CP40" s="306"/>
      <c r="CQ40" s="306"/>
      <c r="CR40" s="306"/>
      <c r="CS40" s="277"/>
      <c r="CT40" s="306"/>
      <c r="CU40" s="306"/>
      <c r="CV40" s="306"/>
      <c r="CW40" s="306"/>
      <c r="CX40" s="306"/>
      <c r="CY40" s="306"/>
      <c r="CZ40" s="277"/>
      <c r="DA40" s="306"/>
      <c r="DB40" s="306"/>
      <c r="DC40" s="306"/>
      <c r="DD40" s="306"/>
      <c r="DE40" s="306"/>
      <c r="DF40" s="306"/>
      <c r="DG40" s="277"/>
      <c r="DH40" s="306"/>
      <c r="DI40" s="306"/>
      <c r="DJ40" s="306"/>
      <c r="DK40" s="306"/>
      <c r="DL40" s="306"/>
      <c r="DM40" s="306"/>
      <c r="DN40" s="277"/>
      <c r="DO40" s="306"/>
      <c r="DP40" s="306"/>
      <c r="DQ40" s="306"/>
      <c r="DR40" s="306"/>
      <c r="DS40" s="306"/>
      <c r="DT40" s="306"/>
      <c r="DU40" s="277"/>
      <c r="DV40" s="306"/>
      <c r="DW40" s="306"/>
      <c r="DX40" s="306"/>
      <c r="DY40" s="306"/>
      <c r="DZ40" s="306"/>
      <c r="EA40" s="306"/>
      <c r="EB40" s="277"/>
      <c r="EC40" s="306"/>
      <c r="ED40" s="306"/>
      <c r="EE40" s="306"/>
      <c r="EF40" s="306"/>
      <c r="EG40" s="306"/>
      <c r="EH40" s="306"/>
      <c r="EI40" s="277"/>
      <c r="EJ40" s="306"/>
      <c r="EK40" s="306"/>
      <c r="EL40" s="306"/>
      <c r="EM40" s="306"/>
      <c r="EN40" s="306"/>
      <c r="EO40" s="306"/>
      <c r="EP40" s="277"/>
      <c r="EQ40" s="306"/>
      <c r="ER40" s="306"/>
      <c r="ES40" s="306"/>
      <c r="ET40" s="306"/>
      <c r="EU40" s="306"/>
      <c r="EV40" s="306"/>
      <c r="EW40" s="277"/>
      <c r="EX40" s="306"/>
      <c r="EY40" s="306"/>
      <c r="EZ40" s="306"/>
      <c r="FA40" s="306"/>
      <c r="FB40" s="306"/>
      <c r="FC40" s="306"/>
      <c r="FD40" s="277"/>
      <c r="FE40" s="306"/>
      <c r="FF40" s="306"/>
      <c r="FG40" s="306"/>
      <c r="FH40" s="306"/>
      <c r="FI40" s="306"/>
      <c r="FJ40" s="306"/>
      <c r="FK40" s="277"/>
      <c r="FL40" s="306"/>
      <c r="FM40" s="306"/>
      <c r="FN40" s="306"/>
      <c r="FO40" s="306"/>
      <c r="FP40" s="306"/>
      <c r="FQ40" s="306"/>
      <c r="FR40" s="277"/>
      <c r="FS40" s="306"/>
      <c r="FT40" s="306"/>
      <c r="FU40" s="306"/>
      <c r="FX40" s="279">
        <f>A40</f>
        <v>3</v>
      </c>
      <c r="FY40" s="307" t="s">
        <v>635</v>
      </c>
      <c r="FZ40" s="308"/>
      <c r="GA40" s="309"/>
      <c r="GB40" s="279">
        <f>SUM(N40:FU40)</f>
        <v>23.5</v>
      </c>
      <c r="GC40" s="310">
        <f>GB40*10</f>
        <v>235</v>
      </c>
      <c r="GD40" s="311">
        <v>56.4</v>
      </c>
      <c r="GE40" s="278">
        <v>1</v>
      </c>
      <c r="GF40" s="312">
        <f>GC40*GD40*GE40</f>
        <v>13254</v>
      </c>
      <c r="GI40" s="964"/>
      <c r="GJ40" s="964"/>
      <c r="GK40" s="964"/>
    </row>
    <row r="41" spans="1:194" ht="39.9" hidden="1" customHeight="1" thickTop="1" thickBot="1" x14ac:dyDescent="0.35">
      <c r="A41" s="313"/>
      <c r="B41" s="314"/>
      <c r="C41" s="314"/>
      <c r="D41" s="314"/>
      <c r="E41" s="314"/>
      <c r="F41" s="314"/>
      <c r="G41" s="314"/>
      <c r="H41" s="314"/>
      <c r="I41" s="314"/>
      <c r="J41" s="314"/>
      <c r="K41" s="314"/>
      <c r="L41" s="314"/>
      <c r="M41" s="314"/>
      <c r="N41" s="295">
        <f t="shared" ref="N41:EX41" si="27">SUBTOTAL(9,N38:N40)</f>
        <v>2</v>
      </c>
      <c r="O41" s="295">
        <f t="shared" si="27"/>
        <v>2</v>
      </c>
      <c r="P41" s="295">
        <f t="shared" si="27"/>
        <v>2</v>
      </c>
      <c r="Q41" s="295">
        <f t="shared" si="27"/>
        <v>2</v>
      </c>
      <c r="R41" s="295">
        <f t="shared" si="27"/>
        <v>2</v>
      </c>
      <c r="S41" s="295">
        <f t="shared" si="27"/>
        <v>0</v>
      </c>
      <c r="T41" s="295">
        <f t="shared" si="27"/>
        <v>0</v>
      </c>
      <c r="U41" s="295">
        <f t="shared" si="27"/>
        <v>2</v>
      </c>
      <c r="V41" s="295">
        <f t="shared" si="27"/>
        <v>2</v>
      </c>
      <c r="W41" s="295">
        <f t="shared" si="27"/>
        <v>2</v>
      </c>
      <c r="X41" s="295">
        <f t="shared" si="27"/>
        <v>2</v>
      </c>
      <c r="Y41" s="295">
        <f t="shared" si="27"/>
        <v>2</v>
      </c>
      <c r="Z41" s="295">
        <f t="shared" si="27"/>
        <v>0</v>
      </c>
      <c r="AA41" s="295">
        <f t="shared" si="27"/>
        <v>0</v>
      </c>
      <c r="AB41" s="295">
        <f t="shared" si="27"/>
        <v>2</v>
      </c>
      <c r="AC41" s="295">
        <f t="shared" si="27"/>
        <v>2</v>
      </c>
      <c r="AD41" s="295">
        <f t="shared" si="27"/>
        <v>2</v>
      </c>
      <c r="AE41" s="295">
        <f t="shared" si="27"/>
        <v>2</v>
      </c>
      <c r="AF41" s="295">
        <f t="shared" si="27"/>
        <v>2</v>
      </c>
      <c r="AG41" s="295">
        <f t="shared" si="27"/>
        <v>0</v>
      </c>
      <c r="AH41" s="295">
        <f t="shared" si="27"/>
        <v>0</v>
      </c>
      <c r="AI41" s="295">
        <f t="shared" si="27"/>
        <v>2</v>
      </c>
      <c r="AJ41" s="295">
        <f t="shared" si="27"/>
        <v>2</v>
      </c>
      <c r="AK41" s="295">
        <f t="shared" si="27"/>
        <v>2</v>
      </c>
      <c r="AL41" s="295">
        <f t="shared" si="27"/>
        <v>2</v>
      </c>
      <c r="AM41" s="295">
        <f t="shared" si="27"/>
        <v>2</v>
      </c>
      <c r="AN41" s="295">
        <f t="shared" si="27"/>
        <v>0</v>
      </c>
      <c r="AO41" s="295">
        <f t="shared" si="27"/>
        <v>0</v>
      </c>
      <c r="AP41" s="295">
        <f t="shared" si="27"/>
        <v>2</v>
      </c>
      <c r="AQ41" s="295">
        <f t="shared" si="27"/>
        <v>2</v>
      </c>
      <c r="AR41" s="295">
        <f t="shared" si="27"/>
        <v>2</v>
      </c>
      <c r="AS41" s="295">
        <f t="shared" si="27"/>
        <v>2</v>
      </c>
      <c r="AT41" s="295">
        <f t="shared" si="27"/>
        <v>2</v>
      </c>
      <c r="AU41" s="295">
        <f t="shared" si="27"/>
        <v>0</v>
      </c>
      <c r="AV41" s="295">
        <f t="shared" si="27"/>
        <v>0</v>
      </c>
      <c r="AW41" s="295">
        <f t="shared" si="27"/>
        <v>2</v>
      </c>
      <c r="AX41" s="295">
        <f t="shared" si="27"/>
        <v>2</v>
      </c>
      <c r="AY41" s="295">
        <f t="shared" si="27"/>
        <v>2</v>
      </c>
      <c r="AZ41" s="295">
        <f t="shared" si="27"/>
        <v>2</v>
      </c>
      <c r="BA41" s="295">
        <f t="shared" si="27"/>
        <v>2</v>
      </c>
      <c r="BB41" s="295">
        <f t="shared" si="27"/>
        <v>0</v>
      </c>
      <c r="BC41" s="295">
        <f t="shared" si="27"/>
        <v>0</v>
      </c>
      <c r="BD41" s="295">
        <f t="shared" si="27"/>
        <v>2</v>
      </c>
      <c r="BE41" s="295">
        <f t="shared" si="27"/>
        <v>2</v>
      </c>
      <c r="BF41" s="295">
        <f t="shared" si="27"/>
        <v>2</v>
      </c>
      <c r="BG41" s="295">
        <f t="shared" si="27"/>
        <v>2</v>
      </c>
      <c r="BH41" s="295">
        <f t="shared" si="27"/>
        <v>2</v>
      </c>
      <c r="BI41" s="295">
        <f t="shared" si="27"/>
        <v>0</v>
      </c>
      <c r="BJ41" s="295">
        <f t="shared" si="27"/>
        <v>0</v>
      </c>
      <c r="BK41" s="295">
        <f t="shared" si="27"/>
        <v>2</v>
      </c>
      <c r="BL41" s="295">
        <f t="shared" si="27"/>
        <v>2</v>
      </c>
      <c r="BM41" s="295">
        <f t="shared" si="27"/>
        <v>2</v>
      </c>
      <c r="BN41" s="295">
        <f t="shared" si="27"/>
        <v>2</v>
      </c>
      <c r="BO41" s="295">
        <f t="shared" si="27"/>
        <v>2</v>
      </c>
      <c r="BP41" s="295">
        <f t="shared" si="27"/>
        <v>0</v>
      </c>
      <c r="BQ41" s="295">
        <f t="shared" si="27"/>
        <v>0</v>
      </c>
      <c r="BR41" s="295">
        <f t="shared" si="27"/>
        <v>2</v>
      </c>
      <c r="BS41" s="295">
        <f t="shared" si="27"/>
        <v>2</v>
      </c>
      <c r="BT41" s="295">
        <f t="shared" si="27"/>
        <v>2</v>
      </c>
      <c r="BU41" s="295">
        <f t="shared" si="27"/>
        <v>2</v>
      </c>
      <c r="BV41" s="295">
        <f t="shared" si="27"/>
        <v>2</v>
      </c>
      <c r="BW41" s="295">
        <f t="shared" si="27"/>
        <v>0</v>
      </c>
      <c r="BX41" s="295">
        <f t="shared" si="27"/>
        <v>0</v>
      </c>
      <c r="BY41" s="295">
        <f t="shared" si="27"/>
        <v>2</v>
      </c>
      <c r="BZ41" s="295">
        <f t="shared" si="27"/>
        <v>2</v>
      </c>
      <c r="CA41" s="295">
        <f t="shared" si="27"/>
        <v>0</v>
      </c>
      <c r="CB41" s="295">
        <f t="shared" si="27"/>
        <v>0</v>
      </c>
      <c r="CC41" s="295">
        <f t="shared" si="27"/>
        <v>0</v>
      </c>
      <c r="CD41" s="295">
        <f t="shared" si="27"/>
        <v>0</v>
      </c>
      <c r="CE41" s="295">
        <f t="shared" si="27"/>
        <v>0</v>
      </c>
      <c r="CF41" s="295">
        <f t="shared" si="27"/>
        <v>0</v>
      </c>
      <c r="CG41" s="295">
        <f t="shared" si="27"/>
        <v>0</v>
      </c>
      <c r="CH41" s="295">
        <f t="shared" si="27"/>
        <v>0</v>
      </c>
      <c r="CI41" s="295">
        <f t="shared" si="27"/>
        <v>0</v>
      </c>
      <c r="CJ41" s="295">
        <f t="shared" si="27"/>
        <v>0</v>
      </c>
      <c r="CK41" s="295">
        <f t="shared" si="27"/>
        <v>0</v>
      </c>
      <c r="CL41" s="295">
        <f t="shared" si="27"/>
        <v>0</v>
      </c>
      <c r="CM41" s="295">
        <f t="shared" si="27"/>
        <v>0</v>
      </c>
      <c r="CN41" s="295">
        <f t="shared" si="27"/>
        <v>0</v>
      </c>
      <c r="CO41" s="295">
        <f t="shared" si="27"/>
        <v>0</v>
      </c>
      <c r="CP41" s="295">
        <f t="shared" si="27"/>
        <v>0</v>
      </c>
      <c r="CQ41" s="295">
        <f t="shared" si="27"/>
        <v>0</v>
      </c>
      <c r="CR41" s="295">
        <f t="shared" si="27"/>
        <v>0</v>
      </c>
      <c r="CS41" s="295">
        <f t="shared" si="27"/>
        <v>0</v>
      </c>
      <c r="CT41" s="295">
        <f t="shared" si="27"/>
        <v>0</v>
      </c>
      <c r="CU41" s="295">
        <f t="shared" si="27"/>
        <v>0</v>
      </c>
      <c r="CV41" s="295">
        <f t="shared" si="27"/>
        <v>0</v>
      </c>
      <c r="CW41" s="295">
        <f t="shared" si="27"/>
        <v>0</v>
      </c>
      <c r="CX41" s="295">
        <f t="shared" si="27"/>
        <v>0</v>
      </c>
      <c r="CY41" s="295">
        <f t="shared" si="27"/>
        <v>0</v>
      </c>
      <c r="CZ41" s="295">
        <f t="shared" si="27"/>
        <v>0</v>
      </c>
      <c r="DA41" s="295">
        <f t="shared" si="27"/>
        <v>0</v>
      </c>
      <c r="DB41" s="295">
        <f t="shared" si="27"/>
        <v>0</v>
      </c>
      <c r="DC41" s="295">
        <f t="shared" si="27"/>
        <v>0</v>
      </c>
      <c r="DD41" s="295">
        <f t="shared" si="27"/>
        <v>0</v>
      </c>
      <c r="DE41" s="295">
        <f t="shared" si="27"/>
        <v>0</v>
      </c>
      <c r="DF41" s="295">
        <f t="shared" si="27"/>
        <v>0</v>
      </c>
      <c r="DG41" s="295">
        <f t="shared" si="27"/>
        <v>0</v>
      </c>
      <c r="DH41" s="295">
        <f t="shared" si="27"/>
        <v>0</v>
      </c>
      <c r="DI41" s="295">
        <f t="shared" si="27"/>
        <v>0</v>
      </c>
      <c r="DJ41" s="295">
        <f t="shared" si="27"/>
        <v>0</v>
      </c>
      <c r="DK41" s="295">
        <f t="shared" si="27"/>
        <v>0</v>
      </c>
      <c r="DL41" s="295">
        <f t="shared" si="27"/>
        <v>0</v>
      </c>
      <c r="DM41" s="295">
        <f t="shared" si="27"/>
        <v>0</v>
      </c>
      <c r="DN41" s="295">
        <f t="shared" si="27"/>
        <v>0</v>
      </c>
      <c r="DO41" s="295">
        <f t="shared" si="27"/>
        <v>0</v>
      </c>
      <c r="DP41" s="295">
        <f t="shared" si="27"/>
        <v>0</v>
      </c>
      <c r="DQ41" s="295">
        <f t="shared" si="27"/>
        <v>0</v>
      </c>
      <c r="DR41" s="295">
        <f t="shared" si="27"/>
        <v>0</v>
      </c>
      <c r="DS41" s="295">
        <f t="shared" si="27"/>
        <v>0</v>
      </c>
      <c r="DT41" s="295">
        <f t="shared" si="27"/>
        <v>0</v>
      </c>
      <c r="DU41" s="295">
        <f t="shared" si="27"/>
        <v>0</v>
      </c>
      <c r="DV41" s="295">
        <f t="shared" si="27"/>
        <v>0</v>
      </c>
      <c r="DW41" s="295">
        <f t="shared" si="27"/>
        <v>0</v>
      </c>
      <c r="DX41" s="295">
        <f t="shared" si="27"/>
        <v>0</v>
      </c>
      <c r="DY41" s="295">
        <f t="shared" si="27"/>
        <v>0</v>
      </c>
      <c r="DZ41" s="295">
        <f t="shared" si="27"/>
        <v>0</v>
      </c>
      <c r="EA41" s="295">
        <f t="shared" si="27"/>
        <v>0</v>
      </c>
      <c r="EB41" s="295">
        <f t="shared" si="27"/>
        <v>0</v>
      </c>
      <c r="EC41" s="295">
        <f t="shared" si="27"/>
        <v>0</v>
      </c>
      <c r="ED41" s="295">
        <f t="shared" si="27"/>
        <v>0</v>
      </c>
      <c r="EE41" s="295">
        <f t="shared" si="27"/>
        <v>0</v>
      </c>
      <c r="EF41" s="295">
        <f t="shared" si="27"/>
        <v>0</v>
      </c>
      <c r="EG41" s="295">
        <f t="shared" si="27"/>
        <v>0</v>
      </c>
      <c r="EH41" s="295">
        <f t="shared" si="27"/>
        <v>0</v>
      </c>
      <c r="EI41" s="295">
        <f t="shared" si="27"/>
        <v>0</v>
      </c>
      <c r="EJ41" s="295">
        <f t="shared" si="27"/>
        <v>0</v>
      </c>
      <c r="EK41" s="295">
        <f t="shared" si="27"/>
        <v>0</v>
      </c>
      <c r="EL41" s="295">
        <f t="shared" si="27"/>
        <v>0</v>
      </c>
      <c r="EM41" s="295">
        <f t="shared" si="27"/>
        <v>0</v>
      </c>
      <c r="EN41" s="295">
        <f t="shared" si="27"/>
        <v>0</v>
      </c>
      <c r="EO41" s="295">
        <f t="shared" si="27"/>
        <v>0</v>
      </c>
      <c r="EP41" s="295">
        <f t="shared" si="27"/>
        <v>0</v>
      </c>
      <c r="EQ41" s="295">
        <f t="shared" si="27"/>
        <v>0</v>
      </c>
      <c r="ER41" s="295">
        <f t="shared" si="27"/>
        <v>0</v>
      </c>
      <c r="ES41" s="295">
        <f t="shared" si="27"/>
        <v>0</v>
      </c>
      <c r="ET41" s="295">
        <f t="shared" si="27"/>
        <v>0</v>
      </c>
      <c r="EU41" s="295">
        <f t="shared" si="27"/>
        <v>0</v>
      </c>
      <c r="EV41" s="295">
        <f t="shared" si="27"/>
        <v>0</v>
      </c>
      <c r="EW41" s="295">
        <f t="shared" si="27"/>
        <v>0</v>
      </c>
      <c r="EX41" s="295">
        <f t="shared" si="27"/>
        <v>0</v>
      </c>
      <c r="EY41" s="295">
        <f t="shared" ref="EY41:FU41" si="28">SUBTOTAL(9,EY38:EY40)</f>
        <v>0</v>
      </c>
      <c r="EZ41" s="295">
        <f t="shared" si="28"/>
        <v>0</v>
      </c>
      <c r="FA41" s="295">
        <f t="shared" si="28"/>
        <v>0</v>
      </c>
      <c r="FB41" s="295">
        <f t="shared" si="28"/>
        <v>0</v>
      </c>
      <c r="FC41" s="295">
        <f t="shared" si="28"/>
        <v>0</v>
      </c>
      <c r="FD41" s="295">
        <f t="shared" si="28"/>
        <v>0</v>
      </c>
      <c r="FE41" s="295">
        <f t="shared" si="28"/>
        <v>0</v>
      </c>
      <c r="FF41" s="295">
        <f t="shared" si="28"/>
        <v>0</v>
      </c>
      <c r="FG41" s="295">
        <f t="shared" si="28"/>
        <v>0</v>
      </c>
      <c r="FH41" s="295">
        <f t="shared" si="28"/>
        <v>0</v>
      </c>
      <c r="FI41" s="295">
        <f t="shared" si="28"/>
        <v>0</v>
      </c>
      <c r="FJ41" s="295">
        <f t="shared" si="28"/>
        <v>0</v>
      </c>
      <c r="FK41" s="295">
        <f t="shared" si="28"/>
        <v>0</v>
      </c>
      <c r="FL41" s="295">
        <f t="shared" si="28"/>
        <v>0</v>
      </c>
      <c r="FM41" s="295">
        <f t="shared" si="28"/>
        <v>0</v>
      </c>
      <c r="FN41" s="295">
        <f t="shared" si="28"/>
        <v>0</v>
      </c>
      <c r="FO41" s="295">
        <f t="shared" si="28"/>
        <v>0</v>
      </c>
      <c r="FP41" s="295">
        <f t="shared" si="28"/>
        <v>0</v>
      </c>
      <c r="FQ41" s="295">
        <f t="shared" si="28"/>
        <v>0</v>
      </c>
      <c r="FR41" s="295">
        <f t="shared" si="28"/>
        <v>0</v>
      </c>
      <c r="FS41" s="295">
        <f t="shared" si="28"/>
        <v>0</v>
      </c>
      <c r="FT41" s="295">
        <f t="shared" si="28"/>
        <v>0</v>
      </c>
      <c r="FU41" s="295">
        <f t="shared" si="28"/>
        <v>0</v>
      </c>
      <c r="FX41" s="315" t="s">
        <v>636</v>
      </c>
      <c r="FY41" s="316"/>
      <c r="FZ41" s="316"/>
      <c r="GA41" s="316"/>
      <c r="GB41" s="317"/>
      <c r="GC41" s="317">
        <f>SUM(GC37:GC39)</f>
        <v>705</v>
      </c>
      <c r="GD41" s="318"/>
      <c r="GE41" s="318"/>
      <c r="GF41" s="319">
        <f>SUM(GF38:GF40)</f>
        <v>60859.360000000001</v>
      </c>
      <c r="GG41" s="320"/>
      <c r="GI41" s="259"/>
      <c r="GJ41" s="259"/>
      <c r="GK41" s="259"/>
    </row>
    <row r="42" spans="1:194" ht="31.5" customHeight="1" thickBot="1" x14ac:dyDescent="0.35">
      <c r="F42" s="322"/>
      <c r="J42" s="323"/>
      <c r="K42" s="323"/>
      <c r="L42" s="324"/>
      <c r="M42" s="325" t="s">
        <v>637</v>
      </c>
      <c r="AG42" s="326"/>
      <c r="AH42" s="326"/>
      <c r="AI42" s="326"/>
      <c r="AJ42" s="326"/>
      <c r="AK42" s="326"/>
      <c r="AL42" s="326"/>
      <c r="AM42" s="326"/>
      <c r="AN42" s="326"/>
      <c r="AO42" s="326"/>
      <c r="AP42" s="326"/>
      <c r="AQ42" s="326"/>
      <c r="AR42" s="326"/>
      <c r="AS42" s="326"/>
      <c r="AT42" s="326"/>
      <c r="AU42" s="326"/>
      <c r="AV42" s="326"/>
      <c r="AW42" s="326"/>
      <c r="AX42" s="326"/>
      <c r="AY42" s="326"/>
      <c r="AZ42" s="326"/>
      <c r="BA42" s="326"/>
      <c r="BB42" s="326"/>
      <c r="BC42" s="326"/>
      <c r="BD42" s="326"/>
      <c r="BE42" s="326"/>
      <c r="BF42" s="326"/>
      <c r="BG42" s="326"/>
      <c r="BH42" s="326"/>
      <c r="BI42" s="326"/>
      <c r="BJ42" s="326"/>
      <c r="BK42" s="326"/>
      <c r="BL42" s="326"/>
      <c r="BM42" s="326"/>
      <c r="BN42" s="326"/>
      <c r="BO42" s="326"/>
      <c r="BP42" s="326"/>
      <c r="BQ42" s="326"/>
      <c r="BR42" s="326"/>
      <c r="BS42" s="326"/>
      <c r="BT42" s="326"/>
      <c r="BW42" s="326"/>
      <c r="BX42" s="326"/>
      <c r="BY42" s="326"/>
      <c r="BZ42" s="326"/>
      <c r="CA42" s="326"/>
      <c r="CB42" s="326"/>
      <c r="CC42" s="326"/>
      <c r="CD42" s="326"/>
      <c r="CE42" s="326"/>
      <c r="CF42" s="326"/>
      <c r="CG42" s="326"/>
      <c r="CH42" s="326"/>
      <c r="CI42" s="326"/>
      <c r="CJ42" s="326"/>
      <c r="CK42" s="326"/>
      <c r="CL42" s="326"/>
      <c r="CM42" s="326"/>
      <c r="CN42" s="326"/>
      <c r="CO42" s="326"/>
      <c r="CP42" s="326"/>
      <c r="CQ42" s="326"/>
      <c r="CR42" s="326"/>
      <c r="CS42" s="326"/>
      <c r="CT42" s="326"/>
      <c r="CU42" s="326"/>
      <c r="CV42" s="326"/>
      <c r="CW42" s="326"/>
      <c r="CX42" s="326"/>
      <c r="CY42" s="326"/>
      <c r="CZ42" s="326"/>
      <c r="DA42" s="326"/>
      <c r="DB42" s="326"/>
      <c r="DC42" s="326"/>
      <c r="DD42" s="326"/>
      <c r="DE42" s="326"/>
      <c r="DF42" s="326"/>
      <c r="DG42" s="326"/>
      <c r="DH42" s="326"/>
      <c r="DI42" s="326"/>
      <c r="DJ42" s="326"/>
      <c r="DK42" s="326"/>
      <c r="DL42" s="326"/>
      <c r="DM42" s="326"/>
      <c r="DN42" s="326"/>
      <c r="DO42" s="326"/>
      <c r="DP42" s="326"/>
      <c r="DQ42" s="326"/>
      <c r="DR42" s="326"/>
      <c r="DS42" s="326"/>
      <c r="DT42" s="326"/>
      <c r="DU42" s="326"/>
      <c r="DV42" s="326"/>
      <c r="DW42" s="326"/>
      <c r="DX42" s="326"/>
      <c r="DY42" s="326"/>
      <c r="DZ42" s="326"/>
      <c r="EA42" s="326"/>
      <c r="EB42" s="326"/>
      <c r="EC42" s="326"/>
      <c r="ED42" s="326"/>
      <c r="EE42" s="326"/>
      <c r="EF42" s="326"/>
      <c r="EG42" s="326"/>
      <c r="EH42" s="326"/>
      <c r="EI42" s="326"/>
      <c r="EJ42" s="326"/>
      <c r="EK42" s="326"/>
      <c r="EL42" s="326"/>
      <c r="EM42" s="326"/>
      <c r="EN42" s="326"/>
      <c r="EO42" s="326"/>
      <c r="EP42" s="326"/>
      <c r="EQ42" s="326"/>
      <c r="ER42" s="326"/>
      <c r="ES42" s="326"/>
      <c r="ET42" s="326"/>
      <c r="EU42" s="326"/>
      <c r="EV42" s="326"/>
      <c r="EW42" s="326"/>
      <c r="EX42" s="326"/>
      <c r="EY42" s="326"/>
      <c r="EZ42" s="326"/>
      <c r="FA42" s="326"/>
      <c r="FB42" s="326"/>
      <c r="FC42" s="326"/>
      <c r="FD42" s="326"/>
      <c r="FE42" s="326"/>
      <c r="FF42" s="326"/>
      <c r="FG42" s="326"/>
      <c r="FH42" s="326"/>
      <c r="FI42" s="326"/>
      <c r="FJ42" s="326"/>
      <c r="FK42" s="326"/>
      <c r="FL42" s="326"/>
      <c r="FM42" s="326"/>
      <c r="FN42" s="326"/>
      <c r="FO42" s="326"/>
      <c r="FP42" s="326"/>
      <c r="FQ42" s="326"/>
      <c r="FR42" s="326"/>
      <c r="FS42" s="326"/>
      <c r="FT42" s="326"/>
      <c r="FU42" s="326"/>
      <c r="FX42" s="327"/>
      <c r="FY42" s="327"/>
      <c r="FZ42" s="327"/>
      <c r="GA42" s="327"/>
      <c r="GB42" s="302"/>
      <c r="GC42" s="302"/>
      <c r="GD42" s="303"/>
      <c r="GE42" s="303"/>
      <c r="GF42" s="303"/>
    </row>
    <row r="43" spans="1:194" ht="31.5" customHeight="1" thickTop="1" thickBot="1" x14ac:dyDescent="0.35">
      <c r="J43" s="323"/>
      <c r="K43" s="328"/>
      <c r="L43" s="324"/>
      <c r="M43" s="329">
        <v>1.44</v>
      </c>
      <c r="N43" s="254">
        <f>N4</f>
        <v>44914</v>
      </c>
      <c r="O43" s="254">
        <f t="shared" ref="O43:AQ43" si="29">O44</f>
        <v>44915</v>
      </c>
      <c r="P43" s="254">
        <f t="shared" si="29"/>
        <v>44916</v>
      </c>
      <c r="Q43" s="254">
        <f t="shared" si="29"/>
        <v>44917</v>
      </c>
      <c r="R43" s="254">
        <f t="shared" si="29"/>
        <v>44918</v>
      </c>
      <c r="S43" s="254">
        <f t="shared" si="29"/>
        <v>44919</v>
      </c>
      <c r="T43" s="254">
        <f t="shared" si="29"/>
        <v>44920</v>
      </c>
      <c r="U43" s="254">
        <f t="shared" si="29"/>
        <v>44921</v>
      </c>
      <c r="V43" s="254">
        <f t="shared" si="29"/>
        <v>44922</v>
      </c>
      <c r="W43" s="254">
        <f t="shared" si="29"/>
        <v>44923</v>
      </c>
      <c r="X43" s="254">
        <f t="shared" si="29"/>
        <v>44924</v>
      </c>
      <c r="Y43" s="254">
        <f t="shared" si="29"/>
        <v>44925</v>
      </c>
      <c r="Z43" s="254">
        <f t="shared" si="29"/>
        <v>44926</v>
      </c>
      <c r="AA43" s="254">
        <f t="shared" si="29"/>
        <v>44927</v>
      </c>
      <c r="AB43" s="254">
        <f t="shared" si="29"/>
        <v>44928</v>
      </c>
      <c r="AC43" s="254">
        <f t="shared" si="29"/>
        <v>44929</v>
      </c>
      <c r="AD43" s="254">
        <f t="shared" si="29"/>
        <v>44930</v>
      </c>
      <c r="AE43" s="254">
        <f t="shared" si="29"/>
        <v>44931</v>
      </c>
      <c r="AF43" s="254">
        <f t="shared" si="29"/>
        <v>44932</v>
      </c>
      <c r="AG43" s="254">
        <f t="shared" si="29"/>
        <v>44933</v>
      </c>
      <c r="AH43" s="254">
        <f t="shared" si="29"/>
        <v>44934</v>
      </c>
      <c r="AI43" s="254">
        <f t="shared" si="29"/>
        <v>44935</v>
      </c>
      <c r="AJ43" s="254">
        <f t="shared" si="29"/>
        <v>44936</v>
      </c>
      <c r="AK43" s="254">
        <f t="shared" si="29"/>
        <v>44937</v>
      </c>
      <c r="AL43" s="254">
        <f t="shared" si="29"/>
        <v>44938</v>
      </c>
      <c r="AM43" s="254">
        <f t="shared" si="29"/>
        <v>44939</v>
      </c>
      <c r="AN43" s="254">
        <f t="shared" si="29"/>
        <v>44940</v>
      </c>
      <c r="AO43" s="254">
        <f t="shared" si="29"/>
        <v>44941</v>
      </c>
      <c r="AP43" s="254">
        <f t="shared" si="29"/>
        <v>44942</v>
      </c>
      <c r="AQ43" s="254">
        <f t="shared" si="29"/>
        <v>44943</v>
      </c>
      <c r="AR43" s="254">
        <f t="shared" ref="AR43:BT43" si="30">AR44</f>
        <v>44944</v>
      </c>
      <c r="AS43" s="254">
        <f t="shared" si="30"/>
        <v>44945</v>
      </c>
      <c r="AT43" s="254">
        <f t="shared" si="30"/>
        <v>44946</v>
      </c>
      <c r="AU43" s="254">
        <f t="shared" si="30"/>
        <v>44947</v>
      </c>
      <c r="AV43" s="254">
        <f t="shared" si="30"/>
        <v>44948</v>
      </c>
      <c r="AW43" s="254">
        <f t="shared" si="30"/>
        <v>44949</v>
      </c>
      <c r="AX43" s="254">
        <f t="shared" si="30"/>
        <v>44950</v>
      </c>
      <c r="AY43" s="254">
        <f t="shared" si="30"/>
        <v>44951</v>
      </c>
      <c r="AZ43" s="254">
        <f t="shared" si="30"/>
        <v>44952</v>
      </c>
      <c r="BA43" s="254">
        <f t="shared" si="30"/>
        <v>44953</v>
      </c>
      <c r="BB43" s="254">
        <f t="shared" si="30"/>
        <v>44954</v>
      </c>
      <c r="BC43" s="254">
        <f t="shared" si="30"/>
        <v>44955</v>
      </c>
      <c r="BD43" s="254">
        <f t="shared" si="30"/>
        <v>44956</v>
      </c>
      <c r="BE43" s="254">
        <f t="shared" si="30"/>
        <v>44957</v>
      </c>
      <c r="BF43" s="254">
        <f t="shared" si="30"/>
        <v>44958</v>
      </c>
      <c r="BG43" s="254">
        <f t="shared" si="30"/>
        <v>44959</v>
      </c>
      <c r="BH43" s="254">
        <f t="shared" si="30"/>
        <v>44960</v>
      </c>
      <c r="BI43" s="254">
        <f t="shared" si="30"/>
        <v>44961</v>
      </c>
      <c r="BJ43" s="254">
        <f t="shared" si="30"/>
        <v>44962</v>
      </c>
      <c r="BK43" s="254">
        <f t="shared" si="30"/>
        <v>44963</v>
      </c>
      <c r="BL43" s="254">
        <f t="shared" si="30"/>
        <v>44964</v>
      </c>
      <c r="BM43" s="254">
        <f t="shared" si="30"/>
        <v>44965</v>
      </c>
      <c r="BN43" s="254">
        <f t="shared" si="30"/>
        <v>44966</v>
      </c>
      <c r="BO43" s="254">
        <f t="shared" si="30"/>
        <v>44967</v>
      </c>
      <c r="BP43" s="254">
        <f t="shared" si="30"/>
        <v>44968</v>
      </c>
      <c r="BQ43" s="254">
        <f t="shared" si="30"/>
        <v>44969</v>
      </c>
      <c r="BR43" s="254">
        <f t="shared" si="30"/>
        <v>44970</v>
      </c>
      <c r="BS43" s="254">
        <f t="shared" si="30"/>
        <v>44971</v>
      </c>
      <c r="BT43" s="254">
        <f t="shared" si="30"/>
        <v>44972</v>
      </c>
      <c r="BU43" s="254">
        <f t="shared" ref="BU43:CG43" si="31">BU44</f>
        <v>44973</v>
      </c>
      <c r="BV43" s="254">
        <f t="shared" si="31"/>
        <v>44974</v>
      </c>
      <c r="BW43" s="254">
        <f t="shared" si="31"/>
        <v>44975</v>
      </c>
      <c r="BX43" s="254">
        <f t="shared" si="31"/>
        <v>44976</v>
      </c>
      <c r="BY43" s="254">
        <f t="shared" si="31"/>
        <v>44977</v>
      </c>
      <c r="BZ43" s="254">
        <f t="shared" si="31"/>
        <v>44978</v>
      </c>
      <c r="CA43" s="254">
        <f t="shared" si="31"/>
        <v>44979</v>
      </c>
      <c r="CB43" s="254">
        <f t="shared" si="31"/>
        <v>44980</v>
      </c>
      <c r="CC43" s="254">
        <f t="shared" si="31"/>
        <v>44981</v>
      </c>
      <c r="CD43" s="254">
        <f t="shared" si="31"/>
        <v>44982</v>
      </c>
      <c r="CE43" s="254">
        <f t="shared" si="31"/>
        <v>44983</v>
      </c>
      <c r="CF43" s="254">
        <f t="shared" si="31"/>
        <v>44984</v>
      </c>
      <c r="CG43" s="254">
        <f t="shared" si="31"/>
        <v>44985</v>
      </c>
      <c r="CH43" s="254">
        <f t="shared" ref="CH43:DJ43" si="32">CH44</f>
        <v>44986</v>
      </c>
      <c r="CI43" s="254">
        <f t="shared" si="32"/>
        <v>44987</v>
      </c>
      <c r="CJ43" s="254">
        <f t="shared" si="32"/>
        <v>44988</v>
      </c>
      <c r="CK43" s="254">
        <f t="shared" si="32"/>
        <v>44989</v>
      </c>
      <c r="CL43" s="254">
        <f t="shared" si="32"/>
        <v>44990</v>
      </c>
      <c r="CM43" s="254">
        <f t="shared" si="32"/>
        <v>44991</v>
      </c>
      <c r="CN43" s="254">
        <f t="shared" si="32"/>
        <v>44992</v>
      </c>
      <c r="CO43" s="254">
        <f t="shared" si="32"/>
        <v>44993</v>
      </c>
      <c r="CP43" s="254">
        <f t="shared" si="32"/>
        <v>44994</v>
      </c>
      <c r="CQ43" s="254">
        <f t="shared" si="32"/>
        <v>44995</v>
      </c>
      <c r="CR43" s="254">
        <f t="shared" si="32"/>
        <v>44996</v>
      </c>
      <c r="CS43" s="254">
        <f t="shared" si="32"/>
        <v>44997</v>
      </c>
      <c r="CT43" s="254">
        <f t="shared" si="32"/>
        <v>44998</v>
      </c>
      <c r="CU43" s="254">
        <f t="shared" si="32"/>
        <v>44999</v>
      </c>
      <c r="CV43" s="254">
        <f t="shared" si="32"/>
        <v>45000</v>
      </c>
      <c r="CW43" s="254">
        <f t="shared" si="32"/>
        <v>45001</v>
      </c>
      <c r="CX43" s="254">
        <f t="shared" si="32"/>
        <v>45002</v>
      </c>
      <c r="CY43" s="254">
        <f t="shared" si="32"/>
        <v>45003</v>
      </c>
      <c r="CZ43" s="254">
        <f t="shared" si="32"/>
        <v>45004</v>
      </c>
      <c r="DA43" s="254">
        <f t="shared" si="32"/>
        <v>45005</v>
      </c>
      <c r="DB43" s="254">
        <f t="shared" si="32"/>
        <v>45006</v>
      </c>
      <c r="DC43" s="254">
        <f t="shared" si="32"/>
        <v>45007</v>
      </c>
      <c r="DD43" s="254">
        <f t="shared" si="32"/>
        <v>45008</v>
      </c>
      <c r="DE43" s="254">
        <f t="shared" si="32"/>
        <v>45009</v>
      </c>
      <c r="DF43" s="254">
        <f t="shared" si="32"/>
        <v>45010</v>
      </c>
      <c r="DG43" s="254">
        <f t="shared" si="32"/>
        <v>45011</v>
      </c>
      <c r="DH43" s="254">
        <f t="shared" si="32"/>
        <v>45012</v>
      </c>
      <c r="DI43" s="254">
        <f t="shared" si="32"/>
        <v>45013</v>
      </c>
      <c r="DJ43" s="254">
        <f t="shared" si="32"/>
        <v>45014</v>
      </c>
      <c r="DK43" s="254">
        <f t="shared" ref="DK43:DP43" si="33">DK44</f>
        <v>45015</v>
      </c>
      <c r="DL43" s="254">
        <f t="shared" si="33"/>
        <v>45016</v>
      </c>
      <c r="DM43" s="254">
        <f t="shared" si="33"/>
        <v>45017</v>
      </c>
      <c r="DN43" s="254">
        <f t="shared" si="33"/>
        <v>45018</v>
      </c>
      <c r="DO43" s="254">
        <f t="shared" si="33"/>
        <v>45019</v>
      </c>
      <c r="DP43" s="254">
        <f t="shared" si="33"/>
        <v>45020</v>
      </c>
      <c r="DQ43" s="254">
        <f t="shared" ref="DQ43:FU43" si="34">DQ44</f>
        <v>45021</v>
      </c>
      <c r="DR43" s="254">
        <f t="shared" si="34"/>
        <v>45022</v>
      </c>
      <c r="DS43" s="254">
        <f t="shared" si="34"/>
        <v>45023</v>
      </c>
      <c r="DT43" s="254">
        <f t="shared" si="34"/>
        <v>45024</v>
      </c>
      <c r="DU43" s="254">
        <f t="shared" si="34"/>
        <v>45025</v>
      </c>
      <c r="DV43" s="254">
        <f t="shared" si="34"/>
        <v>45026</v>
      </c>
      <c r="DW43" s="254">
        <f t="shared" si="34"/>
        <v>45027</v>
      </c>
      <c r="DX43" s="254">
        <f t="shared" si="34"/>
        <v>45028</v>
      </c>
      <c r="DY43" s="254">
        <f t="shared" si="34"/>
        <v>45029</v>
      </c>
      <c r="DZ43" s="254">
        <f t="shared" si="34"/>
        <v>45030</v>
      </c>
      <c r="EA43" s="254">
        <f t="shared" si="34"/>
        <v>45031</v>
      </c>
      <c r="EB43" s="254">
        <f t="shared" si="34"/>
        <v>45032</v>
      </c>
      <c r="EC43" s="254">
        <f t="shared" si="34"/>
        <v>45033</v>
      </c>
      <c r="ED43" s="254">
        <f t="shared" si="34"/>
        <v>45034</v>
      </c>
      <c r="EE43" s="254">
        <f t="shared" si="34"/>
        <v>45035</v>
      </c>
      <c r="EF43" s="254">
        <f t="shared" si="34"/>
        <v>45036</v>
      </c>
      <c r="EG43" s="254">
        <f t="shared" si="34"/>
        <v>45037</v>
      </c>
      <c r="EH43" s="254">
        <f t="shared" si="34"/>
        <v>45038</v>
      </c>
      <c r="EI43" s="254">
        <f t="shared" si="34"/>
        <v>45039</v>
      </c>
      <c r="EJ43" s="254">
        <f t="shared" si="34"/>
        <v>45040</v>
      </c>
      <c r="EK43" s="254">
        <f t="shared" si="34"/>
        <v>45041</v>
      </c>
      <c r="EL43" s="254">
        <f t="shared" si="34"/>
        <v>45042</v>
      </c>
      <c r="EM43" s="254">
        <f t="shared" si="34"/>
        <v>45043</v>
      </c>
      <c r="EN43" s="254">
        <f t="shared" si="34"/>
        <v>45044</v>
      </c>
      <c r="EO43" s="254">
        <f t="shared" si="34"/>
        <v>45045</v>
      </c>
      <c r="EP43" s="254">
        <f t="shared" si="34"/>
        <v>45046</v>
      </c>
      <c r="EQ43" s="254">
        <f t="shared" si="34"/>
        <v>45047</v>
      </c>
      <c r="ER43" s="254">
        <f t="shared" si="34"/>
        <v>45048</v>
      </c>
      <c r="ES43" s="254">
        <f t="shared" si="34"/>
        <v>45049</v>
      </c>
      <c r="ET43" s="254">
        <f t="shared" si="34"/>
        <v>45050</v>
      </c>
      <c r="EU43" s="254">
        <f t="shared" si="34"/>
        <v>45051</v>
      </c>
      <c r="EV43" s="254">
        <f t="shared" si="34"/>
        <v>45052</v>
      </c>
      <c r="EW43" s="254">
        <f t="shared" si="34"/>
        <v>45053</v>
      </c>
      <c r="EX43" s="254">
        <f t="shared" si="34"/>
        <v>45054</v>
      </c>
      <c r="EY43" s="254">
        <f t="shared" si="34"/>
        <v>45055</v>
      </c>
      <c r="EZ43" s="254">
        <f t="shared" si="34"/>
        <v>45056</v>
      </c>
      <c r="FA43" s="254">
        <f t="shared" si="34"/>
        <v>45057</v>
      </c>
      <c r="FB43" s="254">
        <f t="shared" si="34"/>
        <v>45058</v>
      </c>
      <c r="FC43" s="254">
        <f t="shared" si="34"/>
        <v>45059</v>
      </c>
      <c r="FD43" s="254">
        <f t="shared" si="34"/>
        <v>45060</v>
      </c>
      <c r="FE43" s="254">
        <f t="shared" si="34"/>
        <v>45061</v>
      </c>
      <c r="FF43" s="254">
        <f t="shared" si="34"/>
        <v>45062</v>
      </c>
      <c r="FG43" s="254">
        <f t="shared" si="34"/>
        <v>45063</v>
      </c>
      <c r="FH43" s="254">
        <f t="shared" si="34"/>
        <v>45064</v>
      </c>
      <c r="FI43" s="254">
        <f t="shared" si="34"/>
        <v>45065</v>
      </c>
      <c r="FJ43" s="254">
        <f t="shared" si="34"/>
        <v>45066</v>
      </c>
      <c r="FK43" s="254">
        <f t="shared" si="34"/>
        <v>45067</v>
      </c>
      <c r="FL43" s="254">
        <f t="shared" si="34"/>
        <v>45068</v>
      </c>
      <c r="FM43" s="254">
        <f t="shared" si="34"/>
        <v>45069</v>
      </c>
      <c r="FN43" s="254">
        <f t="shared" si="34"/>
        <v>45070</v>
      </c>
      <c r="FO43" s="254">
        <f t="shared" si="34"/>
        <v>45071</v>
      </c>
      <c r="FP43" s="254">
        <f t="shared" si="34"/>
        <v>45072</v>
      </c>
      <c r="FQ43" s="254">
        <f t="shared" si="34"/>
        <v>45073</v>
      </c>
      <c r="FR43" s="254">
        <f t="shared" si="34"/>
        <v>45074</v>
      </c>
      <c r="FS43" s="254">
        <f t="shared" si="34"/>
        <v>45075</v>
      </c>
      <c r="FT43" s="254">
        <f t="shared" si="34"/>
        <v>45076</v>
      </c>
      <c r="FU43" s="254">
        <f t="shared" si="34"/>
        <v>45077</v>
      </c>
      <c r="FW43" s="330"/>
      <c r="FX43" s="331" t="s">
        <v>638</v>
      </c>
      <c r="FY43" s="332"/>
      <c r="FZ43" s="332"/>
      <c r="GA43" s="332"/>
      <c r="GB43" s="333"/>
      <c r="GC43" s="333"/>
      <c r="GD43" s="333"/>
      <c r="GE43" s="333"/>
      <c r="GF43" s="334">
        <f>GF36+GF41</f>
        <v>255608.56</v>
      </c>
    </row>
    <row r="44" spans="1:194" ht="24.9" customHeight="1" thickTop="1" thickBot="1" x14ac:dyDescent="0.35">
      <c r="C44" s="249"/>
      <c r="D44" s="249"/>
      <c r="E44" s="249"/>
      <c r="H44" s="322"/>
      <c r="K44" s="250"/>
      <c r="M44" s="335"/>
      <c r="N44" s="336">
        <f>N5</f>
        <v>44914</v>
      </c>
      <c r="O44" s="336">
        <f t="shared" ref="O44:FC44" si="35">O5</f>
        <v>44915</v>
      </c>
      <c r="P44" s="336">
        <f t="shared" si="35"/>
        <v>44916</v>
      </c>
      <c r="Q44" s="336">
        <f t="shared" si="35"/>
        <v>44917</v>
      </c>
      <c r="R44" s="336">
        <f t="shared" si="35"/>
        <v>44918</v>
      </c>
      <c r="S44" s="336">
        <f t="shared" si="35"/>
        <v>44919</v>
      </c>
      <c r="T44" s="336">
        <f t="shared" si="35"/>
        <v>44920</v>
      </c>
      <c r="U44" s="336">
        <f t="shared" si="35"/>
        <v>44921</v>
      </c>
      <c r="V44" s="336">
        <f t="shared" si="35"/>
        <v>44922</v>
      </c>
      <c r="W44" s="336">
        <f t="shared" si="35"/>
        <v>44923</v>
      </c>
      <c r="X44" s="336">
        <f t="shared" si="35"/>
        <v>44924</v>
      </c>
      <c r="Y44" s="336">
        <f t="shared" si="35"/>
        <v>44925</v>
      </c>
      <c r="Z44" s="336">
        <f t="shared" si="35"/>
        <v>44926</v>
      </c>
      <c r="AA44" s="336">
        <f t="shared" si="35"/>
        <v>44927</v>
      </c>
      <c r="AB44" s="336">
        <f t="shared" si="35"/>
        <v>44928</v>
      </c>
      <c r="AC44" s="336">
        <f t="shared" si="35"/>
        <v>44929</v>
      </c>
      <c r="AD44" s="336">
        <f t="shared" si="35"/>
        <v>44930</v>
      </c>
      <c r="AE44" s="336">
        <f t="shared" si="35"/>
        <v>44931</v>
      </c>
      <c r="AF44" s="336">
        <f t="shared" si="35"/>
        <v>44932</v>
      </c>
      <c r="AG44" s="336">
        <f t="shared" si="35"/>
        <v>44933</v>
      </c>
      <c r="AH44" s="336">
        <f t="shared" si="35"/>
        <v>44934</v>
      </c>
      <c r="AI44" s="336">
        <f t="shared" si="35"/>
        <v>44935</v>
      </c>
      <c r="AJ44" s="336">
        <f t="shared" si="35"/>
        <v>44936</v>
      </c>
      <c r="AK44" s="336">
        <f t="shared" si="35"/>
        <v>44937</v>
      </c>
      <c r="AL44" s="336">
        <f t="shared" si="35"/>
        <v>44938</v>
      </c>
      <c r="AM44" s="336">
        <f t="shared" si="35"/>
        <v>44939</v>
      </c>
      <c r="AN44" s="336">
        <f t="shared" si="35"/>
        <v>44940</v>
      </c>
      <c r="AO44" s="336">
        <f t="shared" si="35"/>
        <v>44941</v>
      </c>
      <c r="AP44" s="336">
        <f t="shared" si="35"/>
        <v>44942</v>
      </c>
      <c r="AQ44" s="336">
        <f>AQ5</f>
        <v>44943</v>
      </c>
      <c r="AR44" s="336">
        <f t="shared" ref="AR44:BT44" si="36">AR5</f>
        <v>44944</v>
      </c>
      <c r="AS44" s="336">
        <f t="shared" si="36"/>
        <v>44945</v>
      </c>
      <c r="AT44" s="336">
        <f t="shared" si="36"/>
        <v>44946</v>
      </c>
      <c r="AU44" s="336">
        <f t="shared" si="36"/>
        <v>44947</v>
      </c>
      <c r="AV44" s="336">
        <f t="shared" si="36"/>
        <v>44948</v>
      </c>
      <c r="AW44" s="336">
        <f t="shared" si="36"/>
        <v>44949</v>
      </c>
      <c r="AX44" s="336">
        <f t="shared" si="36"/>
        <v>44950</v>
      </c>
      <c r="AY44" s="336">
        <f t="shared" si="36"/>
        <v>44951</v>
      </c>
      <c r="AZ44" s="336">
        <f t="shared" si="36"/>
        <v>44952</v>
      </c>
      <c r="BA44" s="336">
        <f t="shared" si="36"/>
        <v>44953</v>
      </c>
      <c r="BB44" s="336">
        <f t="shared" si="36"/>
        <v>44954</v>
      </c>
      <c r="BC44" s="336">
        <f t="shared" si="36"/>
        <v>44955</v>
      </c>
      <c r="BD44" s="336">
        <f t="shared" si="36"/>
        <v>44956</v>
      </c>
      <c r="BE44" s="336">
        <f t="shared" si="36"/>
        <v>44957</v>
      </c>
      <c r="BF44" s="336">
        <f t="shared" si="36"/>
        <v>44958</v>
      </c>
      <c r="BG44" s="336">
        <f t="shared" si="36"/>
        <v>44959</v>
      </c>
      <c r="BH44" s="336">
        <f t="shared" si="36"/>
        <v>44960</v>
      </c>
      <c r="BI44" s="336">
        <f t="shared" si="36"/>
        <v>44961</v>
      </c>
      <c r="BJ44" s="336">
        <f t="shared" si="36"/>
        <v>44962</v>
      </c>
      <c r="BK44" s="336">
        <f t="shared" si="36"/>
        <v>44963</v>
      </c>
      <c r="BL44" s="336">
        <f t="shared" si="36"/>
        <v>44964</v>
      </c>
      <c r="BM44" s="336">
        <f t="shared" si="36"/>
        <v>44965</v>
      </c>
      <c r="BN44" s="336">
        <f t="shared" si="36"/>
        <v>44966</v>
      </c>
      <c r="BO44" s="336">
        <f t="shared" si="36"/>
        <v>44967</v>
      </c>
      <c r="BP44" s="336">
        <f t="shared" si="36"/>
        <v>44968</v>
      </c>
      <c r="BQ44" s="336">
        <f t="shared" si="36"/>
        <v>44969</v>
      </c>
      <c r="BR44" s="336">
        <f t="shared" si="36"/>
        <v>44970</v>
      </c>
      <c r="BS44" s="336">
        <f t="shared" si="36"/>
        <v>44971</v>
      </c>
      <c r="BT44" s="336">
        <f t="shared" si="36"/>
        <v>44972</v>
      </c>
      <c r="BU44" s="336">
        <f t="shared" si="35"/>
        <v>44973</v>
      </c>
      <c r="BV44" s="336">
        <f t="shared" si="35"/>
        <v>44974</v>
      </c>
      <c r="BW44" s="336">
        <f t="shared" si="35"/>
        <v>44975</v>
      </c>
      <c r="BX44" s="336">
        <f t="shared" si="35"/>
        <v>44976</v>
      </c>
      <c r="BY44" s="336">
        <f t="shared" si="35"/>
        <v>44977</v>
      </c>
      <c r="BZ44" s="336">
        <f t="shared" si="35"/>
        <v>44978</v>
      </c>
      <c r="CA44" s="336">
        <f t="shared" si="35"/>
        <v>44979</v>
      </c>
      <c r="CB44" s="336">
        <f t="shared" si="35"/>
        <v>44980</v>
      </c>
      <c r="CC44" s="336">
        <f t="shared" si="35"/>
        <v>44981</v>
      </c>
      <c r="CD44" s="336">
        <f t="shared" si="35"/>
        <v>44982</v>
      </c>
      <c r="CE44" s="336">
        <f t="shared" si="35"/>
        <v>44983</v>
      </c>
      <c r="CF44" s="336">
        <f t="shared" si="35"/>
        <v>44984</v>
      </c>
      <c r="CG44" s="336">
        <f>CG5</f>
        <v>44985</v>
      </c>
      <c r="CH44" s="336">
        <f t="shared" ref="CH44:DJ44" si="37">CH5</f>
        <v>44986</v>
      </c>
      <c r="CI44" s="336">
        <f t="shared" si="37"/>
        <v>44987</v>
      </c>
      <c r="CJ44" s="336">
        <f t="shared" si="37"/>
        <v>44988</v>
      </c>
      <c r="CK44" s="336">
        <f t="shared" si="37"/>
        <v>44989</v>
      </c>
      <c r="CL44" s="336">
        <f t="shared" si="37"/>
        <v>44990</v>
      </c>
      <c r="CM44" s="336">
        <f t="shared" si="37"/>
        <v>44991</v>
      </c>
      <c r="CN44" s="336">
        <f t="shared" si="37"/>
        <v>44992</v>
      </c>
      <c r="CO44" s="336">
        <f t="shared" si="37"/>
        <v>44993</v>
      </c>
      <c r="CP44" s="336">
        <f t="shared" si="37"/>
        <v>44994</v>
      </c>
      <c r="CQ44" s="336">
        <f t="shared" si="37"/>
        <v>44995</v>
      </c>
      <c r="CR44" s="336">
        <f t="shared" si="37"/>
        <v>44996</v>
      </c>
      <c r="CS44" s="336">
        <f t="shared" si="37"/>
        <v>44997</v>
      </c>
      <c r="CT44" s="336">
        <f t="shared" si="37"/>
        <v>44998</v>
      </c>
      <c r="CU44" s="336">
        <f t="shared" si="37"/>
        <v>44999</v>
      </c>
      <c r="CV44" s="336">
        <f t="shared" si="37"/>
        <v>45000</v>
      </c>
      <c r="CW44" s="336">
        <f t="shared" si="37"/>
        <v>45001</v>
      </c>
      <c r="CX44" s="336">
        <f t="shared" si="37"/>
        <v>45002</v>
      </c>
      <c r="CY44" s="336">
        <f t="shared" si="37"/>
        <v>45003</v>
      </c>
      <c r="CZ44" s="336">
        <f t="shared" si="37"/>
        <v>45004</v>
      </c>
      <c r="DA44" s="336">
        <f t="shared" si="37"/>
        <v>45005</v>
      </c>
      <c r="DB44" s="336">
        <f t="shared" si="37"/>
        <v>45006</v>
      </c>
      <c r="DC44" s="336">
        <f t="shared" si="37"/>
        <v>45007</v>
      </c>
      <c r="DD44" s="336">
        <f t="shared" si="37"/>
        <v>45008</v>
      </c>
      <c r="DE44" s="336">
        <f t="shared" si="37"/>
        <v>45009</v>
      </c>
      <c r="DF44" s="336">
        <f t="shared" si="37"/>
        <v>45010</v>
      </c>
      <c r="DG44" s="336">
        <f t="shared" si="37"/>
        <v>45011</v>
      </c>
      <c r="DH44" s="336">
        <f t="shared" si="37"/>
        <v>45012</v>
      </c>
      <c r="DI44" s="336">
        <f t="shared" si="37"/>
        <v>45013</v>
      </c>
      <c r="DJ44" s="336">
        <f t="shared" si="37"/>
        <v>45014</v>
      </c>
      <c r="DK44" s="336">
        <f t="shared" si="35"/>
        <v>45015</v>
      </c>
      <c r="DL44" s="336">
        <f t="shared" si="35"/>
        <v>45016</v>
      </c>
      <c r="DM44" s="336">
        <f t="shared" si="35"/>
        <v>45017</v>
      </c>
      <c r="DN44" s="336">
        <f t="shared" si="35"/>
        <v>45018</v>
      </c>
      <c r="DO44" s="336">
        <f t="shared" si="35"/>
        <v>45019</v>
      </c>
      <c r="DP44" s="336">
        <f>DP5</f>
        <v>45020</v>
      </c>
      <c r="DQ44" s="336">
        <f t="shared" si="35"/>
        <v>45021</v>
      </c>
      <c r="DR44" s="336">
        <f t="shared" si="35"/>
        <v>45022</v>
      </c>
      <c r="DS44" s="336">
        <f t="shared" si="35"/>
        <v>45023</v>
      </c>
      <c r="DT44" s="336">
        <f t="shared" si="35"/>
        <v>45024</v>
      </c>
      <c r="DU44" s="336">
        <f t="shared" si="35"/>
        <v>45025</v>
      </c>
      <c r="DV44" s="336">
        <f t="shared" si="35"/>
        <v>45026</v>
      </c>
      <c r="DW44" s="336">
        <f t="shared" si="35"/>
        <v>45027</v>
      </c>
      <c r="DX44" s="336">
        <f t="shared" si="35"/>
        <v>45028</v>
      </c>
      <c r="DY44" s="336">
        <f t="shared" si="35"/>
        <v>45029</v>
      </c>
      <c r="DZ44" s="336">
        <f t="shared" si="35"/>
        <v>45030</v>
      </c>
      <c r="EA44" s="336">
        <f t="shared" si="35"/>
        <v>45031</v>
      </c>
      <c r="EB44" s="336">
        <f t="shared" si="35"/>
        <v>45032</v>
      </c>
      <c r="EC44" s="336">
        <f t="shared" si="35"/>
        <v>45033</v>
      </c>
      <c r="ED44" s="336">
        <f t="shared" si="35"/>
        <v>45034</v>
      </c>
      <c r="EE44" s="336">
        <f t="shared" si="35"/>
        <v>45035</v>
      </c>
      <c r="EF44" s="336">
        <f t="shared" si="35"/>
        <v>45036</v>
      </c>
      <c r="EG44" s="336">
        <f t="shared" si="35"/>
        <v>45037</v>
      </c>
      <c r="EH44" s="336">
        <f t="shared" si="35"/>
        <v>45038</v>
      </c>
      <c r="EI44" s="336">
        <f t="shared" si="35"/>
        <v>45039</v>
      </c>
      <c r="EJ44" s="336">
        <f t="shared" si="35"/>
        <v>45040</v>
      </c>
      <c r="EK44" s="336">
        <f t="shared" si="35"/>
        <v>45041</v>
      </c>
      <c r="EL44" s="336">
        <f t="shared" si="35"/>
        <v>45042</v>
      </c>
      <c r="EM44" s="336">
        <f t="shared" si="35"/>
        <v>45043</v>
      </c>
      <c r="EN44" s="336">
        <f t="shared" si="35"/>
        <v>45044</v>
      </c>
      <c r="EO44" s="336">
        <f t="shared" si="35"/>
        <v>45045</v>
      </c>
      <c r="EP44" s="336">
        <f t="shared" si="35"/>
        <v>45046</v>
      </c>
      <c r="EQ44" s="336">
        <f t="shared" si="35"/>
        <v>45047</v>
      </c>
      <c r="ER44" s="336">
        <f t="shared" si="35"/>
        <v>45048</v>
      </c>
      <c r="ES44" s="336">
        <f t="shared" si="35"/>
        <v>45049</v>
      </c>
      <c r="ET44" s="336">
        <f t="shared" si="35"/>
        <v>45050</v>
      </c>
      <c r="EU44" s="336">
        <f t="shared" si="35"/>
        <v>45051</v>
      </c>
      <c r="EV44" s="336">
        <f t="shared" si="35"/>
        <v>45052</v>
      </c>
      <c r="EW44" s="336">
        <f t="shared" si="35"/>
        <v>45053</v>
      </c>
      <c r="EX44" s="336">
        <f t="shared" si="35"/>
        <v>45054</v>
      </c>
      <c r="EY44" s="336">
        <f t="shared" si="35"/>
        <v>45055</v>
      </c>
      <c r="EZ44" s="336">
        <f t="shared" si="35"/>
        <v>45056</v>
      </c>
      <c r="FA44" s="336">
        <f t="shared" si="35"/>
        <v>45057</v>
      </c>
      <c r="FB44" s="336">
        <f t="shared" si="35"/>
        <v>45058</v>
      </c>
      <c r="FC44" s="336">
        <f t="shared" si="35"/>
        <v>45059</v>
      </c>
      <c r="FD44" s="336">
        <f t="shared" ref="FD44:FU44" si="38">FD5</f>
        <v>45060</v>
      </c>
      <c r="FE44" s="336">
        <f t="shared" si="38"/>
        <v>45061</v>
      </c>
      <c r="FF44" s="336">
        <f t="shared" si="38"/>
        <v>45062</v>
      </c>
      <c r="FG44" s="336">
        <f t="shared" si="38"/>
        <v>45063</v>
      </c>
      <c r="FH44" s="336">
        <f t="shared" si="38"/>
        <v>45064</v>
      </c>
      <c r="FI44" s="336">
        <f t="shared" si="38"/>
        <v>45065</v>
      </c>
      <c r="FJ44" s="336">
        <f t="shared" si="38"/>
        <v>45066</v>
      </c>
      <c r="FK44" s="336">
        <f t="shared" si="38"/>
        <v>45067</v>
      </c>
      <c r="FL44" s="336">
        <f t="shared" si="38"/>
        <v>45068</v>
      </c>
      <c r="FM44" s="336">
        <f t="shared" si="38"/>
        <v>45069</v>
      </c>
      <c r="FN44" s="336">
        <f t="shared" si="38"/>
        <v>45070</v>
      </c>
      <c r="FO44" s="336">
        <f t="shared" si="38"/>
        <v>45071</v>
      </c>
      <c r="FP44" s="336">
        <f t="shared" si="38"/>
        <v>45072</v>
      </c>
      <c r="FQ44" s="336">
        <f t="shared" si="38"/>
        <v>45073</v>
      </c>
      <c r="FR44" s="336">
        <f t="shared" si="38"/>
        <v>45074</v>
      </c>
      <c r="FS44" s="336">
        <f t="shared" si="38"/>
        <v>45075</v>
      </c>
      <c r="FT44" s="336">
        <f t="shared" si="38"/>
        <v>45076</v>
      </c>
      <c r="FU44" s="336">
        <f t="shared" si="38"/>
        <v>45077</v>
      </c>
      <c r="FV44" s="337"/>
      <c r="FW44" s="330"/>
      <c r="FX44" s="338" t="s">
        <v>639</v>
      </c>
      <c r="FY44" s="339"/>
      <c r="FZ44" s="339"/>
      <c r="GA44" s="339"/>
      <c r="GB44" s="340"/>
      <c r="GC44" s="340"/>
      <c r="GD44" s="340"/>
      <c r="GE44" s="340"/>
      <c r="GF44" s="341">
        <v>3718.2414400000002</v>
      </c>
    </row>
    <row r="45" spans="1:194" ht="24.9" hidden="1" customHeight="1" thickTop="1" thickBot="1" x14ac:dyDescent="0.35">
      <c r="C45" s="249"/>
      <c r="D45" s="249"/>
      <c r="E45" s="249"/>
      <c r="K45" s="250"/>
      <c r="M45" s="342" t="s">
        <v>628</v>
      </c>
      <c r="N45" s="343">
        <f t="shared" ref="N45:AO45" si="39">N36*$M$43</f>
        <v>11.52</v>
      </c>
      <c r="O45" s="343">
        <f t="shared" si="39"/>
        <v>11.52</v>
      </c>
      <c r="P45" s="343">
        <f t="shared" si="39"/>
        <v>11.52</v>
      </c>
      <c r="Q45" s="343">
        <f t="shared" si="39"/>
        <v>11.52</v>
      </c>
      <c r="R45" s="343">
        <f t="shared" si="39"/>
        <v>11.52</v>
      </c>
      <c r="S45" s="343">
        <f t="shared" si="39"/>
        <v>0</v>
      </c>
      <c r="T45" s="343">
        <f t="shared" si="39"/>
        <v>0</v>
      </c>
      <c r="U45" s="343">
        <f t="shared" si="39"/>
        <v>11.52</v>
      </c>
      <c r="V45" s="343">
        <f t="shared" si="39"/>
        <v>11.52</v>
      </c>
      <c r="W45" s="343">
        <f t="shared" si="39"/>
        <v>11.52</v>
      </c>
      <c r="X45" s="343">
        <f t="shared" si="39"/>
        <v>11.52</v>
      </c>
      <c r="Y45" s="343">
        <f t="shared" si="39"/>
        <v>11.52</v>
      </c>
      <c r="Z45" s="343">
        <f t="shared" si="39"/>
        <v>0</v>
      </c>
      <c r="AA45" s="343">
        <f t="shared" si="39"/>
        <v>0</v>
      </c>
      <c r="AB45" s="343">
        <f t="shared" si="39"/>
        <v>11.52</v>
      </c>
      <c r="AC45" s="343">
        <f t="shared" si="39"/>
        <v>11.52</v>
      </c>
      <c r="AD45" s="343">
        <f t="shared" si="39"/>
        <v>11.52</v>
      </c>
      <c r="AE45" s="343">
        <f t="shared" si="39"/>
        <v>11.52</v>
      </c>
      <c r="AF45" s="343">
        <f t="shared" si="39"/>
        <v>11.52</v>
      </c>
      <c r="AG45" s="343">
        <f t="shared" si="39"/>
        <v>0</v>
      </c>
      <c r="AH45" s="343">
        <f t="shared" si="39"/>
        <v>0</v>
      </c>
      <c r="AI45" s="343">
        <f t="shared" si="39"/>
        <v>11.52</v>
      </c>
      <c r="AJ45" s="343">
        <f t="shared" si="39"/>
        <v>11.52</v>
      </c>
      <c r="AK45" s="343">
        <f t="shared" si="39"/>
        <v>11.52</v>
      </c>
      <c r="AL45" s="343">
        <f t="shared" si="39"/>
        <v>11.52</v>
      </c>
      <c r="AM45" s="343">
        <f t="shared" si="39"/>
        <v>11.52</v>
      </c>
      <c r="AN45" s="343">
        <f t="shared" si="39"/>
        <v>0</v>
      </c>
      <c r="AO45" s="343">
        <f t="shared" si="39"/>
        <v>0</v>
      </c>
      <c r="AP45" s="343">
        <f t="shared" ref="AP45:AZ45" si="40">AP36*$M$43</f>
        <v>11.52</v>
      </c>
      <c r="AQ45" s="343">
        <f t="shared" si="40"/>
        <v>11.52</v>
      </c>
      <c r="AR45" s="343">
        <f t="shared" si="40"/>
        <v>11.52</v>
      </c>
      <c r="AS45" s="343">
        <f t="shared" si="40"/>
        <v>11.52</v>
      </c>
      <c r="AT45" s="343">
        <f t="shared" si="40"/>
        <v>11.52</v>
      </c>
      <c r="AU45" s="343">
        <f t="shared" si="40"/>
        <v>0</v>
      </c>
      <c r="AV45" s="343">
        <f t="shared" si="40"/>
        <v>0</v>
      </c>
      <c r="AW45" s="343">
        <f t="shared" si="40"/>
        <v>11.52</v>
      </c>
      <c r="AX45" s="343">
        <f t="shared" si="40"/>
        <v>11.52</v>
      </c>
      <c r="AY45" s="343">
        <f t="shared" si="40"/>
        <v>11.52</v>
      </c>
      <c r="AZ45" s="343">
        <f t="shared" si="40"/>
        <v>11.52</v>
      </c>
      <c r="BA45" s="343">
        <f>BA36*$M$43</f>
        <v>11.52</v>
      </c>
      <c r="BB45" s="343">
        <f t="shared" ref="BB45:BG45" si="41">BB36*$M$43</f>
        <v>0</v>
      </c>
      <c r="BC45" s="343">
        <f t="shared" si="41"/>
        <v>0</v>
      </c>
      <c r="BD45" s="343">
        <f t="shared" si="41"/>
        <v>11.52</v>
      </c>
      <c r="BE45" s="343">
        <f t="shared" si="41"/>
        <v>11.52</v>
      </c>
      <c r="BF45" s="343">
        <f t="shared" si="41"/>
        <v>11.52</v>
      </c>
      <c r="BG45" s="343">
        <f t="shared" si="41"/>
        <v>11.52</v>
      </c>
      <c r="BH45" s="343">
        <f>BH36*$M$43</f>
        <v>11.52</v>
      </c>
      <c r="BI45" s="343">
        <f t="shared" ref="BI45:BN45" si="42">BI36*$M$43</f>
        <v>0</v>
      </c>
      <c r="BJ45" s="343">
        <f t="shared" si="42"/>
        <v>0</v>
      </c>
      <c r="BK45" s="343">
        <f t="shared" si="42"/>
        <v>11.52</v>
      </c>
      <c r="BL45" s="343">
        <f t="shared" si="42"/>
        <v>11.52</v>
      </c>
      <c r="BM45" s="343">
        <f t="shared" si="42"/>
        <v>11.52</v>
      </c>
      <c r="BN45" s="343">
        <f t="shared" si="42"/>
        <v>11.52</v>
      </c>
      <c r="BO45" s="343">
        <f t="shared" ref="BO45:CE45" si="43">BO36*$M$43</f>
        <v>11.52</v>
      </c>
      <c r="BP45" s="343">
        <f t="shared" si="43"/>
        <v>0</v>
      </c>
      <c r="BQ45" s="343">
        <f t="shared" si="43"/>
        <v>0</v>
      </c>
      <c r="BR45" s="343">
        <f t="shared" si="43"/>
        <v>11.52</v>
      </c>
      <c r="BS45" s="343">
        <f t="shared" si="43"/>
        <v>11.52</v>
      </c>
      <c r="BT45" s="343">
        <f t="shared" si="43"/>
        <v>11.52</v>
      </c>
      <c r="BU45" s="343">
        <f t="shared" si="43"/>
        <v>11.52</v>
      </c>
      <c r="BV45" s="343">
        <f t="shared" si="43"/>
        <v>11.52</v>
      </c>
      <c r="BW45" s="343">
        <f t="shared" si="43"/>
        <v>0</v>
      </c>
      <c r="BX45" s="343">
        <f t="shared" si="43"/>
        <v>0</v>
      </c>
      <c r="BY45" s="343">
        <f t="shared" si="43"/>
        <v>11.52</v>
      </c>
      <c r="BZ45" s="343">
        <f t="shared" si="43"/>
        <v>11.52</v>
      </c>
      <c r="CA45" s="343">
        <f t="shared" si="43"/>
        <v>0</v>
      </c>
      <c r="CB45" s="343">
        <f t="shared" si="43"/>
        <v>0</v>
      </c>
      <c r="CC45" s="343">
        <f t="shared" si="43"/>
        <v>0</v>
      </c>
      <c r="CD45" s="343">
        <f t="shared" si="43"/>
        <v>0</v>
      </c>
      <c r="CE45" s="343">
        <f t="shared" si="43"/>
        <v>0</v>
      </c>
      <c r="CF45" s="343">
        <f t="shared" ref="CF45:CP45" si="44">CF36*$M$43</f>
        <v>0</v>
      </c>
      <c r="CG45" s="343">
        <f t="shared" si="44"/>
        <v>0</v>
      </c>
      <c r="CH45" s="343">
        <f t="shared" si="44"/>
        <v>0</v>
      </c>
      <c r="CI45" s="343">
        <f t="shared" si="44"/>
        <v>0</v>
      </c>
      <c r="CJ45" s="343">
        <f t="shared" si="44"/>
        <v>0</v>
      </c>
      <c r="CK45" s="343">
        <f t="shared" si="44"/>
        <v>0</v>
      </c>
      <c r="CL45" s="343">
        <f t="shared" si="44"/>
        <v>0</v>
      </c>
      <c r="CM45" s="343">
        <f t="shared" si="44"/>
        <v>0</v>
      </c>
      <c r="CN45" s="343">
        <f t="shared" si="44"/>
        <v>0</v>
      </c>
      <c r="CO45" s="343">
        <f t="shared" si="44"/>
        <v>0</v>
      </c>
      <c r="CP45" s="343">
        <f t="shared" si="44"/>
        <v>0</v>
      </c>
      <c r="CQ45" s="343">
        <f>CQ36*$M$43</f>
        <v>0</v>
      </c>
      <c r="CR45" s="343">
        <f t="shared" ref="CR45:CW45" si="45">CR36*$M$43</f>
        <v>0</v>
      </c>
      <c r="CS45" s="343">
        <f t="shared" si="45"/>
        <v>0</v>
      </c>
      <c r="CT45" s="343">
        <f t="shared" si="45"/>
        <v>0</v>
      </c>
      <c r="CU45" s="343">
        <f t="shared" si="45"/>
        <v>0</v>
      </c>
      <c r="CV45" s="343">
        <f t="shared" si="45"/>
        <v>0</v>
      </c>
      <c r="CW45" s="343">
        <f t="shared" si="45"/>
        <v>0</v>
      </c>
      <c r="CX45" s="343">
        <f>CX36*$M$43</f>
        <v>0</v>
      </c>
      <c r="CY45" s="343">
        <f t="shared" ref="CY45:DD45" si="46">CY36*$M$43</f>
        <v>0</v>
      </c>
      <c r="CZ45" s="343">
        <f t="shared" si="46"/>
        <v>0</v>
      </c>
      <c r="DA45" s="343">
        <f t="shared" si="46"/>
        <v>0</v>
      </c>
      <c r="DB45" s="343">
        <f t="shared" si="46"/>
        <v>0</v>
      </c>
      <c r="DC45" s="343">
        <f t="shared" si="46"/>
        <v>0</v>
      </c>
      <c r="DD45" s="343">
        <f t="shared" si="46"/>
        <v>0</v>
      </c>
      <c r="DE45" s="343">
        <f t="shared" ref="DE45:DZ45" si="47">DE36*$M$43</f>
        <v>0</v>
      </c>
      <c r="DF45" s="343">
        <f t="shared" si="47"/>
        <v>0</v>
      </c>
      <c r="DG45" s="343">
        <f t="shared" si="47"/>
        <v>0</v>
      </c>
      <c r="DH45" s="343">
        <f t="shared" si="47"/>
        <v>0</v>
      </c>
      <c r="DI45" s="343">
        <f t="shared" si="47"/>
        <v>0</v>
      </c>
      <c r="DJ45" s="343">
        <f t="shared" si="47"/>
        <v>0</v>
      </c>
      <c r="DK45" s="343">
        <f t="shared" si="47"/>
        <v>0</v>
      </c>
      <c r="DL45" s="343">
        <f t="shared" si="47"/>
        <v>0</v>
      </c>
      <c r="DM45" s="343">
        <f t="shared" si="47"/>
        <v>0</v>
      </c>
      <c r="DN45" s="343">
        <f t="shared" si="47"/>
        <v>0</v>
      </c>
      <c r="DO45" s="343">
        <f t="shared" si="47"/>
        <v>0</v>
      </c>
      <c r="DP45" s="343">
        <f t="shared" si="47"/>
        <v>0</v>
      </c>
      <c r="DQ45" s="343">
        <f t="shared" si="47"/>
        <v>0</v>
      </c>
      <c r="DR45" s="343">
        <f t="shared" si="47"/>
        <v>0</v>
      </c>
      <c r="DS45" s="343">
        <f t="shared" si="47"/>
        <v>0</v>
      </c>
      <c r="DT45" s="343">
        <f t="shared" si="47"/>
        <v>0</v>
      </c>
      <c r="DU45" s="343">
        <f t="shared" si="47"/>
        <v>0</v>
      </c>
      <c r="DV45" s="343">
        <f t="shared" si="47"/>
        <v>0</v>
      </c>
      <c r="DW45" s="343">
        <f t="shared" si="47"/>
        <v>0</v>
      </c>
      <c r="DX45" s="343">
        <f t="shared" si="47"/>
        <v>0</v>
      </c>
      <c r="DY45" s="343">
        <f t="shared" si="47"/>
        <v>0</v>
      </c>
      <c r="DZ45" s="343">
        <f t="shared" si="47"/>
        <v>0</v>
      </c>
      <c r="EA45" s="343">
        <f t="shared" ref="EA45:EF45" si="48">EA36*$M$43</f>
        <v>0</v>
      </c>
      <c r="EB45" s="343">
        <f t="shared" si="48"/>
        <v>0</v>
      </c>
      <c r="EC45" s="343">
        <f t="shared" si="48"/>
        <v>0</v>
      </c>
      <c r="ED45" s="343">
        <f t="shared" si="48"/>
        <v>0</v>
      </c>
      <c r="EE45" s="343">
        <f t="shared" si="48"/>
        <v>0</v>
      </c>
      <c r="EF45" s="343">
        <f t="shared" si="48"/>
        <v>0</v>
      </c>
      <c r="EG45" s="343">
        <f>EG36*$M$43</f>
        <v>0</v>
      </c>
      <c r="EH45" s="343">
        <f t="shared" ref="EH45:EM45" si="49">EH36*$M$43</f>
        <v>0</v>
      </c>
      <c r="EI45" s="343">
        <f t="shared" si="49"/>
        <v>0</v>
      </c>
      <c r="EJ45" s="343">
        <f t="shared" si="49"/>
        <v>0</v>
      </c>
      <c r="EK45" s="343">
        <f t="shared" si="49"/>
        <v>0</v>
      </c>
      <c r="EL45" s="343">
        <f t="shared" si="49"/>
        <v>0</v>
      </c>
      <c r="EM45" s="343">
        <f t="shared" si="49"/>
        <v>0</v>
      </c>
      <c r="EN45" s="343">
        <f t="shared" ref="EN45:FB45" si="50">EN36*$M$43</f>
        <v>0</v>
      </c>
      <c r="EO45" s="343">
        <f t="shared" si="50"/>
        <v>0</v>
      </c>
      <c r="EP45" s="343">
        <f t="shared" si="50"/>
        <v>0</v>
      </c>
      <c r="EQ45" s="343">
        <f t="shared" si="50"/>
        <v>0</v>
      </c>
      <c r="ER45" s="343">
        <f t="shared" si="50"/>
        <v>0</v>
      </c>
      <c r="ES45" s="343">
        <f t="shared" si="50"/>
        <v>0</v>
      </c>
      <c r="ET45" s="343">
        <f t="shared" si="50"/>
        <v>0</v>
      </c>
      <c r="EU45" s="343">
        <f t="shared" si="50"/>
        <v>0</v>
      </c>
      <c r="EV45" s="343">
        <f t="shared" si="50"/>
        <v>0</v>
      </c>
      <c r="EW45" s="343">
        <f t="shared" si="50"/>
        <v>0</v>
      </c>
      <c r="EX45" s="343">
        <f t="shared" si="50"/>
        <v>0</v>
      </c>
      <c r="EY45" s="343">
        <f t="shared" si="50"/>
        <v>0</v>
      </c>
      <c r="EZ45" s="343">
        <f t="shared" si="50"/>
        <v>0</v>
      </c>
      <c r="FA45" s="343">
        <f t="shared" si="50"/>
        <v>0</v>
      </c>
      <c r="FB45" s="343">
        <f t="shared" si="50"/>
        <v>0</v>
      </c>
      <c r="FC45" s="343">
        <f t="shared" ref="FC45:FH45" si="51">FC36*$M$43</f>
        <v>0</v>
      </c>
      <c r="FD45" s="343">
        <f t="shared" si="51"/>
        <v>0</v>
      </c>
      <c r="FE45" s="343">
        <f t="shared" si="51"/>
        <v>0</v>
      </c>
      <c r="FF45" s="343">
        <f t="shared" si="51"/>
        <v>0</v>
      </c>
      <c r="FG45" s="343">
        <f t="shared" si="51"/>
        <v>0</v>
      </c>
      <c r="FH45" s="343">
        <f t="shared" si="51"/>
        <v>0</v>
      </c>
      <c r="FI45" s="343">
        <f>FI36*$M$43</f>
        <v>0</v>
      </c>
      <c r="FJ45" s="343">
        <f t="shared" ref="FJ45:FO45" si="52">FJ36*$M$43</f>
        <v>0</v>
      </c>
      <c r="FK45" s="343">
        <f t="shared" si="52"/>
        <v>0</v>
      </c>
      <c r="FL45" s="343">
        <f t="shared" si="52"/>
        <v>0</v>
      </c>
      <c r="FM45" s="343">
        <f t="shared" si="52"/>
        <v>0</v>
      </c>
      <c r="FN45" s="343">
        <f t="shared" si="52"/>
        <v>0</v>
      </c>
      <c r="FO45" s="343">
        <f t="shared" si="52"/>
        <v>0</v>
      </c>
      <c r="FP45" s="343">
        <f t="shared" ref="FP45:FU45" si="53">FP36*$M$43</f>
        <v>0</v>
      </c>
      <c r="FQ45" s="343">
        <f t="shared" si="53"/>
        <v>0</v>
      </c>
      <c r="FR45" s="343">
        <f t="shared" si="53"/>
        <v>0</v>
      </c>
      <c r="FS45" s="343">
        <f t="shared" si="53"/>
        <v>0</v>
      </c>
      <c r="FT45" s="343">
        <f t="shared" si="53"/>
        <v>0</v>
      </c>
      <c r="FU45" s="343">
        <f t="shared" si="53"/>
        <v>0</v>
      </c>
      <c r="FW45" s="330"/>
      <c r="FX45" s="338" t="s">
        <v>640</v>
      </c>
      <c r="FY45" s="339"/>
      <c r="FZ45" s="339"/>
      <c r="GA45" s="339"/>
      <c r="GB45" s="340"/>
      <c r="GC45" s="340"/>
      <c r="GD45" s="340"/>
      <c r="GE45" s="340"/>
      <c r="GF45" s="341">
        <v>0</v>
      </c>
    </row>
    <row r="46" spans="1:194" ht="24.9" customHeight="1" thickTop="1" x14ac:dyDescent="0.3">
      <c r="K46" s="250"/>
      <c r="M46" s="342" t="s">
        <v>641</v>
      </c>
      <c r="N46" s="343">
        <f>N45</f>
        <v>11.52</v>
      </c>
      <c r="O46" s="343">
        <f>N46+O45</f>
        <v>23.04</v>
      </c>
      <c r="P46" s="343">
        <f t="shared" ref="P46:AE46" si="54">O46+P45</f>
        <v>34.56</v>
      </c>
      <c r="Q46" s="343">
        <f t="shared" si="54"/>
        <v>46.08</v>
      </c>
      <c r="R46" s="343">
        <f t="shared" si="54"/>
        <v>57.599999999999994</v>
      </c>
      <c r="S46" s="343">
        <f t="shared" si="54"/>
        <v>57.599999999999994</v>
      </c>
      <c r="T46" s="343">
        <f t="shared" si="54"/>
        <v>57.599999999999994</v>
      </c>
      <c r="U46" s="343">
        <f t="shared" si="54"/>
        <v>69.11999999999999</v>
      </c>
      <c r="V46" s="343">
        <f t="shared" si="54"/>
        <v>80.639999999999986</v>
      </c>
      <c r="W46" s="343">
        <f t="shared" si="54"/>
        <v>92.159999999999982</v>
      </c>
      <c r="X46" s="343">
        <f t="shared" si="54"/>
        <v>103.67999999999998</v>
      </c>
      <c r="Y46" s="343">
        <f t="shared" si="54"/>
        <v>115.19999999999997</v>
      </c>
      <c r="Z46" s="343">
        <f t="shared" si="54"/>
        <v>115.19999999999997</v>
      </c>
      <c r="AA46" s="343">
        <f t="shared" si="54"/>
        <v>115.19999999999997</v>
      </c>
      <c r="AB46" s="343">
        <f t="shared" si="54"/>
        <v>126.71999999999997</v>
      </c>
      <c r="AC46" s="343">
        <f t="shared" si="54"/>
        <v>138.23999999999998</v>
      </c>
      <c r="AD46" s="343">
        <f t="shared" si="54"/>
        <v>149.76</v>
      </c>
      <c r="AE46" s="343">
        <f t="shared" si="54"/>
        <v>161.28</v>
      </c>
      <c r="AF46" s="343">
        <f>AE46+AF45</f>
        <v>172.8</v>
      </c>
      <c r="AG46" s="343">
        <f t="shared" ref="AG46:CA46" si="55">AF46+AG45</f>
        <v>172.8</v>
      </c>
      <c r="AH46" s="343">
        <f t="shared" si="55"/>
        <v>172.8</v>
      </c>
      <c r="AI46" s="343">
        <f t="shared" si="55"/>
        <v>184.32000000000002</v>
      </c>
      <c r="AJ46" s="343">
        <f t="shared" si="55"/>
        <v>195.84000000000003</v>
      </c>
      <c r="AK46" s="343">
        <f t="shared" si="55"/>
        <v>207.36000000000004</v>
      </c>
      <c r="AL46" s="343">
        <f t="shared" si="55"/>
        <v>218.88000000000005</v>
      </c>
      <c r="AM46" s="343">
        <f t="shared" si="55"/>
        <v>230.40000000000006</v>
      </c>
      <c r="AN46" s="343">
        <f t="shared" si="55"/>
        <v>230.40000000000006</v>
      </c>
      <c r="AO46" s="343">
        <f t="shared" si="55"/>
        <v>230.40000000000006</v>
      </c>
      <c r="AP46" s="343">
        <f t="shared" si="55"/>
        <v>241.92000000000007</v>
      </c>
      <c r="AQ46" s="343">
        <f t="shared" si="55"/>
        <v>253.44000000000008</v>
      </c>
      <c r="AR46" s="343">
        <f t="shared" si="55"/>
        <v>264.96000000000009</v>
      </c>
      <c r="AS46" s="343">
        <f t="shared" si="55"/>
        <v>276.48000000000008</v>
      </c>
      <c r="AT46" s="343">
        <f t="shared" si="55"/>
        <v>288.00000000000006</v>
      </c>
      <c r="AU46" s="343">
        <f t="shared" si="55"/>
        <v>288.00000000000006</v>
      </c>
      <c r="AV46" s="343">
        <f t="shared" si="55"/>
        <v>288.00000000000006</v>
      </c>
      <c r="AW46" s="343">
        <f t="shared" si="55"/>
        <v>299.52000000000004</v>
      </c>
      <c r="AX46" s="343">
        <f t="shared" si="55"/>
        <v>311.04000000000002</v>
      </c>
      <c r="AY46" s="343">
        <f t="shared" si="55"/>
        <v>322.56</v>
      </c>
      <c r="AZ46" s="343">
        <f t="shared" si="55"/>
        <v>334.08</v>
      </c>
      <c r="BA46" s="343">
        <f t="shared" si="55"/>
        <v>345.59999999999997</v>
      </c>
      <c r="BB46" s="343">
        <f t="shared" si="55"/>
        <v>345.59999999999997</v>
      </c>
      <c r="BC46" s="343">
        <f t="shared" si="55"/>
        <v>345.59999999999997</v>
      </c>
      <c r="BD46" s="343">
        <f t="shared" si="55"/>
        <v>357.11999999999995</v>
      </c>
      <c r="BE46" s="343">
        <f t="shared" si="55"/>
        <v>368.63999999999993</v>
      </c>
      <c r="BF46" s="343">
        <f t="shared" si="55"/>
        <v>380.15999999999991</v>
      </c>
      <c r="BG46" s="343">
        <f t="shared" si="55"/>
        <v>391.67999999999989</v>
      </c>
      <c r="BH46" s="343">
        <f t="shared" si="55"/>
        <v>403.19999999999987</v>
      </c>
      <c r="BI46" s="343">
        <f t="shared" si="55"/>
        <v>403.19999999999987</v>
      </c>
      <c r="BJ46" s="343">
        <f t="shared" si="55"/>
        <v>403.19999999999987</v>
      </c>
      <c r="BK46" s="343">
        <f t="shared" si="55"/>
        <v>414.71999999999986</v>
      </c>
      <c r="BL46" s="343">
        <f t="shared" si="55"/>
        <v>426.23999999999984</v>
      </c>
      <c r="BM46" s="343">
        <f t="shared" si="55"/>
        <v>437.75999999999982</v>
      </c>
      <c r="BN46" s="343">
        <f t="shared" si="55"/>
        <v>449.2799999999998</v>
      </c>
      <c r="BO46" s="343">
        <f t="shared" si="55"/>
        <v>460.79999999999978</v>
      </c>
      <c r="BP46" s="343">
        <f t="shared" si="55"/>
        <v>460.79999999999978</v>
      </c>
      <c r="BQ46" s="343">
        <f t="shared" si="55"/>
        <v>460.79999999999978</v>
      </c>
      <c r="BR46" s="343">
        <f t="shared" si="55"/>
        <v>472.31999999999977</v>
      </c>
      <c r="BS46" s="343">
        <f t="shared" si="55"/>
        <v>483.83999999999975</v>
      </c>
      <c r="BT46" s="343">
        <f t="shared" si="55"/>
        <v>495.35999999999973</v>
      </c>
      <c r="BU46" s="343">
        <f t="shared" si="55"/>
        <v>506.87999999999971</v>
      </c>
      <c r="BV46" s="343">
        <f t="shared" si="55"/>
        <v>518.39999999999975</v>
      </c>
      <c r="BW46" s="343">
        <f t="shared" si="55"/>
        <v>518.39999999999975</v>
      </c>
      <c r="BX46" s="343">
        <f t="shared" si="55"/>
        <v>518.39999999999975</v>
      </c>
      <c r="BY46" s="343">
        <f t="shared" si="55"/>
        <v>529.91999999999973</v>
      </c>
      <c r="BZ46" s="343">
        <f t="shared" si="55"/>
        <v>541.43999999999971</v>
      </c>
      <c r="CA46" s="343">
        <f t="shared" si="55"/>
        <v>541.43999999999971</v>
      </c>
      <c r="CB46" s="343">
        <f>AR46+CB45</f>
        <v>264.96000000000009</v>
      </c>
      <c r="CC46" s="343">
        <f t="shared" ref="CC46:DJ46" si="56">CB46+CC45</f>
        <v>264.96000000000009</v>
      </c>
      <c r="CD46" s="343">
        <f t="shared" si="56"/>
        <v>264.96000000000009</v>
      </c>
      <c r="CE46" s="343">
        <f t="shared" si="56"/>
        <v>264.96000000000009</v>
      </c>
      <c r="CF46" s="343">
        <f t="shared" si="56"/>
        <v>264.96000000000009</v>
      </c>
      <c r="CG46" s="343">
        <f t="shared" si="56"/>
        <v>264.96000000000009</v>
      </c>
      <c r="CH46" s="343">
        <f t="shared" si="56"/>
        <v>264.96000000000009</v>
      </c>
      <c r="CI46" s="343">
        <f t="shared" si="56"/>
        <v>264.96000000000009</v>
      </c>
      <c r="CJ46" s="343">
        <f t="shared" si="56"/>
        <v>264.96000000000009</v>
      </c>
      <c r="CK46" s="343">
        <f t="shared" si="56"/>
        <v>264.96000000000009</v>
      </c>
      <c r="CL46" s="343">
        <f t="shared" si="56"/>
        <v>264.96000000000009</v>
      </c>
      <c r="CM46" s="343">
        <f t="shared" si="56"/>
        <v>264.96000000000009</v>
      </c>
      <c r="CN46" s="343">
        <f t="shared" si="56"/>
        <v>264.96000000000009</v>
      </c>
      <c r="CO46" s="343">
        <f t="shared" si="56"/>
        <v>264.96000000000009</v>
      </c>
      <c r="CP46" s="343">
        <f t="shared" si="56"/>
        <v>264.96000000000009</v>
      </c>
      <c r="CQ46" s="343">
        <f t="shared" si="56"/>
        <v>264.96000000000009</v>
      </c>
      <c r="CR46" s="343">
        <f t="shared" si="56"/>
        <v>264.96000000000009</v>
      </c>
      <c r="CS46" s="343">
        <f t="shared" si="56"/>
        <v>264.96000000000009</v>
      </c>
      <c r="CT46" s="343">
        <f t="shared" si="56"/>
        <v>264.96000000000009</v>
      </c>
      <c r="CU46" s="343">
        <f t="shared" si="56"/>
        <v>264.96000000000009</v>
      </c>
      <c r="CV46" s="343">
        <f t="shared" si="56"/>
        <v>264.96000000000009</v>
      </c>
      <c r="CW46" s="343">
        <f t="shared" si="56"/>
        <v>264.96000000000009</v>
      </c>
      <c r="CX46" s="343">
        <f t="shared" si="56"/>
        <v>264.96000000000009</v>
      </c>
      <c r="CY46" s="343">
        <f t="shared" si="56"/>
        <v>264.96000000000009</v>
      </c>
      <c r="CZ46" s="343">
        <f t="shared" si="56"/>
        <v>264.96000000000009</v>
      </c>
      <c r="DA46" s="343">
        <f t="shared" si="56"/>
        <v>264.96000000000009</v>
      </c>
      <c r="DB46" s="343">
        <f t="shared" si="56"/>
        <v>264.96000000000009</v>
      </c>
      <c r="DC46" s="343">
        <f t="shared" si="56"/>
        <v>264.96000000000009</v>
      </c>
      <c r="DD46" s="343">
        <f t="shared" si="56"/>
        <v>264.96000000000009</v>
      </c>
      <c r="DE46" s="343">
        <f t="shared" si="56"/>
        <v>264.96000000000009</v>
      </c>
      <c r="DF46" s="343">
        <f t="shared" si="56"/>
        <v>264.96000000000009</v>
      </c>
      <c r="DG46" s="343">
        <f t="shared" si="56"/>
        <v>264.96000000000009</v>
      </c>
      <c r="DH46" s="343">
        <f t="shared" si="56"/>
        <v>264.96000000000009</v>
      </c>
      <c r="DI46" s="343">
        <f t="shared" si="56"/>
        <v>264.96000000000009</v>
      </c>
      <c r="DJ46" s="343">
        <f t="shared" si="56"/>
        <v>264.96000000000009</v>
      </c>
      <c r="DK46" s="343">
        <f>CA46+DK45</f>
        <v>541.43999999999971</v>
      </c>
      <c r="DL46" s="343">
        <f t="shared" ref="DL46:FU46" si="57">DK46+DL45</f>
        <v>541.43999999999971</v>
      </c>
      <c r="DM46" s="343">
        <f t="shared" si="57"/>
        <v>541.43999999999971</v>
      </c>
      <c r="DN46" s="343">
        <f t="shared" si="57"/>
        <v>541.43999999999971</v>
      </c>
      <c r="DO46" s="343">
        <f t="shared" si="57"/>
        <v>541.43999999999971</v>
      </c>
      <c r="DP46" s="343">
        <f t="shared" si="57"/>
        <v>541.43999999999971</v>
      </c>
      <c r="DQ46" s="343">
        <f t="shared" si="57"/>
        <v>541.43999999999971</v>
      </c>
      <c r="DR46" s="343">
        <f>CO46+DR45</f>
        <v>264.96000000000009</v>
      </c>
      <c r="DS46" s="343">
        <f t="shared" ref="DS46:ES46" si="58">DR46+DS45</f>
        <v>264.96000000000009</v>
      </c>
      <c r="DT46" s="343">
        <f t="shared" si="58"/>
        <v>264.96000000000009</v>
      </c>
      <c r="DU46" s="343">
        <f t="shared" si="58"/>
        <v>264.96000000000009</v>
      </c>
      <c r="DV46" s="343">
        <f t="shared" si="58"/>
        <v>264.96000000000009</v>
      </c>
      <c r="DW46" s="343">
        <f t="shared" si="58"/>
        <v>264.96000000000009</v>
      </c>
      <c r="DX46" s="343">
        <f t="shared" si="58"/>
        <v>264.96000000000009</v>
      </c>
      <c r="DY46" s="343">
        <f t="shared" si="58"/>
        <v>264.96000000000009</v>
      </c>
      <c r="DZ46" s="343">
        <f t="shared" si="58"/>
        <v>264.96000000000009</v>
      </c>
      <c r="EA46" s="343">
        <f t="shared" si="58"/>
        <v>264.96000000000009</v>
      </c>
      <c r="EB46" s="343">
        <f t="shared" si="58"/>
        <v>264.96000000000009</v>
      </c>
      <c r="EC46" s="343">
        <f t="shared" si="58"/>
        <v>264.96000000000009</v>
      </c>
      <c r="ED46" s="343">
        <f t="shared" si="58"/>
        <v>264.96000000000009</v>
      </c>
      <c r="EE46" s="343">
        <f t="shared" si="58"/>
        <v>264.96000000000009</v>
      </c>
      <c r="EF46" s="343">
        <f t="shared" si="58"/>
        <v>264.96000000000009</v>
      </c>
      <c r="EG46" s="343">
        <f t="shared" si="58"/>
        <v>264.96000000000009</v>
      </c>
      <c r="EH46" s="343">
        <f t="shared" si="58"/>
        <v>264.96000000000009</v>
      </c>
      <c r="EI46" s="343">
        <f t="shared" si="58"/>
        <v>264.96000000000009</v>
      </c>
      <c r="EJ46" s="343">
        <f t="shared" si="58"/>
        <v>264.96000000000009</v>
      </c>
      <c r="EK46" s="343">
        <f t="shared" si="58"/>
        <v>264.96000000000009</v>
      </c>
      <c r="EL46" s="343">
        <f t="shared" si="58"/>
        <v>264.96000000000009</v>
      </c>
      <c r="EM46" s="343">
        <f t="shared" si="58"/>
        <v>264.96000000000009</v>
      </c>
      <c r="EN46" s="343">
        <f t="shared" si="58"/>
        <v>264.96000000000009</v>
      </c>
      <c r="EO46" s="343">
        <f t="shared" si="58"/>
        <v>264.96000000000009</v>
      </c>
      <c r="EP46" s="343">
        <f t="shared" si="58"/>
        <v>264.96000000000009</v>
      </c>
      <c r="EQ46" s="343">
        <f t="shared" si="58"/>
        <v>264.96000000000009</v>
      </c>
      <c r="ER46" s="343">
        <f t="shared" si="58"/>
        <v>264.96000000000009</v>
      </c>
      <c r="ES46" s="343">
        <f t="shared" si="58"/>
        <v>264.96000000000009</v>
      </c>
      <c r="ET46" s="343">
        <f>DQ46+ET45</f>
        <v>541.43999999999971</v>
      </c>
      <c r="EU46" s="343">
        <f t="shared" si="57"/>
        <v>541.43999999999971</v>
      </c>
      <c r="EV46" s="343">
        <f t="shared" si="57"/>
        <v>541.43999999999971</v>
      </c>
      <c r="EW46" s="343">
        <f t="shared" si="57"/>
        <v>541.43999999999971</v>
      </c>
      <c r="EX46" s="343">
        <f t="shared" si="57"/>
        <v>541.43999999999971</v>
      </c>
      <c r="EY46" s="343">
        <f t="shared" si="57"/>
        <v>541.43999999999971</v>
      </c>
      <c r="EZ46" s="343">
        <f t="shared" si="57"/>
        <v>541.43999999999971</v>
      </c>
      <c r="FA46" s="343">
        <f t="shared" si="57"/>
        <v>541.43999999999971</v>
      </c>
      <c r="FB46" s="343">
        <f t="shared" si="57"/>
        <v>541.43999999999971</v>
      </c>
      <c r="FC46" s="343">
        <f t="shared" si="57"/>
        <v>541.43999999999971</v>
      </c>
      <c r="FD46" s="343">
        <f t="shared" si="57"/>
        <v>541.43999999999971</v>
      </c>
      <c r="FE46" s="343">
        <f t="shared" si="57"/>
        <v>541.43999999999971</v>
      </c>
      <c r="FF46" s="343">
        <f t="shared" si="57"/>
        <v>541.43999999999971</v>
      </c>
      <c r="FG46" s="343">
        <f t="shared" si="57"/>
        <v>541.43999999999971</v>
      </c>
      <c r="FH46" s="343">
        <f t="shared" si="57"/>
        <v>541.43999999999971</v>
      </c>
      <c r="FI46" s="343">
        <f t="shared" si="57"/>
        <v>541.43999999999971</v>
      </c>
      <c r="FJ46" s="343">
        <f t="shared" si="57"/>
        <v>541.43999999999971</v>
      </c>
      <c r="FK46" s="343">
        <f t="shared" si="57"/>
        <v>541.43999999999971</v>
      </c>
      <c r="FL46" s="343">
        <f t="shared" si="57"/>
        <v>541.43999999999971</v>
      </c>
      <c r="FM46" s="343">
        <f t="shared" si="57"/>
        <v>541.43999999999971</v>
      </c>
      <c r="FN46" s="343">
        <f t="shared" si="57"/>
        <v>541.43999999999971</v>
      </c>
      <c r="FO46" s="343">
        <f t="shared" si="57"/>
        <v>541.43999999999971</v>
      </c>
      <c r="FP46" s="343">
        <f t="shared" si="57"/>
        <v>541.43999999999971</v>
      </c>
      <c r="FQ46" s="343">
        <f t="shared" si="57"/>
        <v>541.43999999999971</v>
      </c>
      <c r="FR46" s="343">
        <f t="shared" si="57"/>
        <v>541.43999999999971</v>
      </c>
      <c r="FS46" s="343">
        <f t="shared" si="57"/>
        <v>541.43999999999971</v>
      </c>
      <c r="FT46" s="343">
        <f t="shared" si="57"/>
        <v>541.43999999999971</v>
      </c>
      <c r="FU46" s="343">
        <f t="shared" si="57"/>
        <v>541.43999999999971</v>
      </c>
      <c r="FV46" s="337"/>
      <c r="FX46" s="344"/>
      <c r="FY46" s="345"/>
      <c r="FZ46" s="345"/>
      <c r="GA46" s="345"/>
      <c r="GB46" s="346"/>
      <c r="GC46" s="346"/>
      <c r="GD46" s="346"/>
      <c r="GE46" s="346"/>
      <c r="GF46" s="347"/>
    </row>
    <row r="47" spans="1:194" ht="24.9" customHeight="1" thickBot="1" x14ac:dyDescent="0.35">
      <c r="B47" s="337"/>
      <c r="M47" s="342" t="s">
        <v>642</v>
      </c>
      <c r="N47" s="348"/>
      <c r="O47" s="349"/>
      <c r="P47" s="349"/>
      <c r="Q47" s="349"/>
      <c r="R47" s="349"/>
      <c r="S47" s="349"/>
      <c r="T47" s="349"/>
      <c r="U47" s="349"/>
      <c r="V47" s="349"/>
      <c r="W47" s="349"/>
      <c r="X47" s="349"/>
      <c r="Y47" s="349"/>
      <c r="Z47" s="349"/>
      <c r="AA47" s="349"/>
      <c r="AB47" s="349"/>
      <c r="AC47" s="349"/>
      <c r="AD47" s="349"/>
      <c r="AE47" s="349"/>
      <c r="AF47" s="349"/>
      <c r="AG47" s="349"/>
      <c r="AH47" s="349"/>
      <c r="AI47" s="349"/>
      <c r="AJ47" s="349"/>
      <c r="AK47" s="349"/>
      <c r="AL47" s="349"/>
      <c r="AM47" s="349"/>
      <c r="AN47" s="349"/>
      <c r="AO47" s="349"/>
      <c r="AP47" s="349"/>
      <c r="AQ47" s="349"/>
      <c r="AR47" s="349"/>
      <c r="AS47" s="349"/>
      <c r="AT47" s="349"/>
      <c r="AU47" s="349"/>
      <c r="AV47" s="349"/>
      <c r="AW47" s="349"/>
      <c r="AX47" s="349"/>
      <c r="AY47" s="349"/>
      <c r="AZ47" s="349"/>
      <c r="BA47" s="349"/>
      <c r="BB47" s="349"/>
      <c r="BC47" s="349"/>
      <c r="BD47" s="349"/>
      <c r="BE47" s="349"/>
      <c r="BF47" s="349"/>
      <c r="BG47" s="349"/>
      <c r="BH47" s="349"/>
      <c r="BI47" s="349"/>
      <c r="BJ47" s="349"/>
      <c r="BK47" s="349"/>
      <c r="BL47" s="349"/>
      <c r="BM47" s="349"/>
      <c r="BN47" s="349"/>
      <c r="BO47" s="349"/>
      <c r="BP47" s="349"/>
      <c r="BQ47" s="349"/>
      <c r="BR47" s="349"/>
      <c r="BS47" s="349"/>
      <c r="BT47" s="349"/>
      <c r="BU47" s="349"/>
      <c r="BV47" s="349"/>
      <c r="BW47" s="349"/>
      <c r="BX47" s="349"/>
      <c r="BY47" s="349"/>
      <c r="BZ47" s="349"/>
      <c r="CA47" s="349"/>
      <c r="CB47" s="349"/>
      <c r="CC47" s="349"/>
      <c r="CD47" s="349"/>
      <c r="CE47" s="349"/>
      <c r="CF47" s="349"/>
      <c r="CG47" s="349"/>
      <c r="CH47" s="349"/>
      <c r="CI47" s="349"/>
      <c r="CJ47" s="349"/>
      <c r="CK47" s="349"/>
      <c r="CL47" s="349"/>
      <c r="CM47" s="349"/>
      <c r="CN47" s="349"/>
      <c r="CO47" s="349"/>
      <c r="CP47" s="349"/>
      <c r="CQ47" s="349"/>
      <c r="CR47" s="349"/>
      <c r="CS47" s="349"/>
      <c r="CT47" s="349"/>
      <c r="CU47" s="349"/>
      <c r="CV47" s="349"/>
      <c r="CW47" s="349"/>
      <c r="CX47" s="349"/>
      <c r="CY47" s="349"/>
      <c r="CZ47" s="349"/>
      <c r="DA47" s="349"/>
      <c r="DB47" s="349"/>
      <c r="DC47" s="349"/>
      <c r="DD47" s="349"/>
      <c r="DE47" s="349"/>
      <c r="DF47" s="349"/>
      <c r="DG47" s="349"/>
      <c r="DH47" s="349"/>
      <c r="DI47" s="349"/>
      <c r="DJ47" s="349"/>
      <c r="DK47" s="349"/>
      <c r="DL47" s="349"/>
      <c r="DM47" s="349"/>
      <c r="DN47" s="349"/>
      <c r="DO47" s="349"/>
      <c r="DP47" s="349"/>
      <c r="DQ47" s="349"/>
      <c r="DR47" s="349"/>
      <c r="DS47" s="349"/>
      <c r="DT47" s="349"/>
      <c r="DU47" s="349"/>
      <c r="DV47" s="349"/>
      <c r="DW47" s="349"/>
      <c r="DX47" s="349"/>
      <c r="DY47" s="349"/>
      <c r="DZ47" s="349"/>
      <c r="EA47" s="349"/>
      <c r="EB47" s="349"/>
      <c r="EC47" s="349"/>
      <c r="ED47" s="349"/>
      <c r="EE47" s="349"/>
      <c r="EF47" s="349"/>
      <c r="EG47" s="349"/>
      <c r="EH47" s="349"/>
      <c r="EI47" s="349"/>
      <c r="EJ47" s="349"/>
      <c r="EK47" s="349"/>
      <c r="EL47" s="349"/>
      <c r="EM47" s="349"/>
      <c r="EN47" s="349"/>
      <c r="EO47" s="349"/>
      <c r="EP47" s="349"/>
      <c r="EQ47" s="349"/>
      <c r="ER47" s="349"/>
      <c r="ES47" s="349"/>
      <c r="ET47" s="349"/>
      <c r="EU47" s="349"/>
      <c r="EV47" s="349"/>
      <c r="EW47" s="349"/>
      <c r="EX47" s="349"/>
      <c r="EY47" s="349"/>
      <c r="EZ47" s="349"/>
      <c r="FA47" s="349"/>
      <c r="FB47" s="349"/>
      <c r="FC47" s="349"/>
      <c r="FD47" s="349"/>
      <c r="FE47" s="349"/>
      <c r="FF47" s="349"/>
      <c r="FG47" s="349"/>
      <c r="FH47" s="349"/>
      <c r="FI47" s="349"/>
      <c r="FJ47" s="349"/>
      <c r="FK47" s="349"/>
      <c r="FL47" s="349"/>
      <c r="FM47" s="349"/>
      <c r="FN47" s="349"/>
      <c r="FO47" s="349"/>
      <c r="FP47" s="349"/>
      <c r="FQ47" s="349"/>
      <c r="FR47" s="349"/>
      <c r="FS47" s="349"/>
      <c r="FT47" s="349"/>
      <c r="FU47" s="349"/>
      <c r="FX47" s="350"/>
      <c r="FY47" s="350"/>
      <c r="FZ47" s="350"/>
      <c r="GA47" s="350"/>
      <c r="GB47" s="350"/>
      <c r="GC47" s="350"/>
      <c r="GD47" s="350"/>
      <c r="GE47" s="350"/>
      <c r="GF47" s="350"/>
    </row>
    <row r="48" spans="1:194" ht="24.75" customHeight="1" thickTop="1" thickBot="1" x14ac:dyDescent="0.35">
      <c r="M48" s="342" t="s">
        <v>643</v>
      </c>
      <c r="N48" s="351">
        <f>N47</f>
        <v>0</v>
      </c>
      <c r="O48" s="352">
        <f t="shared" ref="O48:AD48" si="59">N48+O47</f>
        <v>0</v>
      </c>
      <c r="P48" s="352">
        <f t="shared" si="59"/>
        <v>0</v>
      </c>
      <c r="Q48" s="352">
        <f t="shared" si="59"/>
        <v>0</v>
      </c>
      <c r="R48" s="352">
        <f t="shared" si="59"/>
        <v>0</v>
      </c>
      <c r="S48" s="352">
        <f t="shared" si="59"/>
        <v>0</v>
      </c>
      <c r="T48" s="352">
        <f t="shared" si="59"/>
        <v>0</v>
      </c>
      <c r="U48" s="352">
        <f t="shared" si="59"/>
        <v>0</v>
      </c>
      <c r="V48" s="352">
        <f t="shared" si="59"/>
        <v>0</v>
      </c>
      <c r="W48" s="352">
        <f t="shared" si="59"/>
        <v>0</v>
      </c>
      <c r="X48" s="352">
        <f t="shared" si="59"/>
        <v>0</v>
      </c>
      <c r="Y48" s="352">
        <f t="shared" si="59"/>
        <v>0</v>
      </c>
      <c r="Z48" s="352">
        <f t="shared" si="59"/>
        <v>0</v>
      </c>
      <c r="AA48" s="352">
        <f t="shared" si="59"/>
        <v>0</v>
      </c>
      <c r="AB48" s="352">
        <f t="shared" si="59"/>
        <v>0</v>
      </c>
      <c r="AC48" s="352">
        <f t="shared" si="59"/>
        <v>0</v>
      </c>
      <c r="AD48" s="352">
        <f t="shared" si="59"/>
        <v>0</v>
      </c>
      <c r="AE48" s="352" t="e">
        <f>#REF!+AE47</f>
        <v>#REF!</v>
      </c>
      <c r="AF48" s="352" t="e">
        <f t="shared" ref="AF48:AN48" si="60">AE48+AF47</f>
        <v>#REF!</v>
      </c>
      <c r="AG48" s="352" t="e">
        <f t="shared" si="60"/>
        <v>#REF!</v>
      </c>
      <c r="AH48" s="352" t="e">
        <f t="shared" si="60"/>
        <v>#REF!</v>
      </c>
      <c r="AI48" s="352" t="e">
        <f t="shared" si="60"/>
        <v>#REF!</v>
      </c>
      <c r="AJ48" s="352" t="e">
        <f t="shared" si="60"/>
        <v>#REF!</v>
      </c>
      <c r="AK48" s="352" t="e">
        <f t="shared" si="60"/>
        <v>#REF!</v>
      </c>
      <c r="AL48" s="352" t="e">
        <f t="shared" si="60"/>
        <v>#REF!</v>
      </c>
      <c r="AM48" s="352" t="e">
        <f t="shared" si="60"/>
        <v>#REF!</v>
      </c>
      <c r="AN48" s="352" t="e">
        <f t="shared" si="60"/>
        <v>#REF!</v>
      </c>
      <c r="AO48" s="352" t="e">
        <f>AM48+AO47</f>
        <v>#REF!</v>
      </c>
      <c r="AP48" s="352" t="e">
        <f>AN48+AP47</f>
        <v>#REF!</v>
      </c>
      <c r="AQ48" s="352" t="e">
        <f>AP48+AQ47</f>
        <v>#REF!</v>
      </c>
      <c r="AR48" s="352" t="e">
        <f>AQ48+AR47+AR72</f>
        <v>#REF!</v>
      </c>
      <c r="AS48" s="352" t="e">
        <f t="shared" ref="AS48:BT48" si="61">AR48+AS47</f>
        <v>#REF!</v>
      </c>
      <c r="AT48" s="352" t="e">
        <f t="shared" si="61"/>
        <v>#REF!</v>
      </c>
      <c r="AU48" s="352" t="e">
        <f t="shared" si="61"/>
        <v>#REF!</v>
      </c>
      <c r="AV48" s="352" t="e">
        <f t="shared" si="61"/>
        <v>#REF!</v>
      </c>
      <c r="AW48" s="352" t="e">
        <f t="shared" si="61"/>
        <v>#REF!</v>
      </c>
      <c r="AX48" s="352" t="e">
        <f t="shared" si="61"/>
        <v>#REF!</v>
      </c>
      <c r="AY48" s="352" t="e">
        <f t="shared" si="61"/>
        <v>#REF!</v>
      </c>
      <c r="AZ48" s="352" t="e">
        <f t="shared" si="61"/>
        <v>#REF!</v>
      </c>
      <c r="BA48" s="352" t="e">
        <f t="shared" si="61"/>
        <v>#REF!</v>
      </c>
      <c r="BB48" s="352" t="e">
        <f t="shared" si="61"/>
        <v>#REF!</v>
      </c>
      <c r="BC48" s="352" t="e">
        <f t="shared" si="61"/>
        <v>#REF!</v>
      </c>
      <c r="BD48" s="352" t="e">
        <f t="shared" si="61"/>
        <v>#REF!</v>
      </c>
      <c r="BE48" s="352" t="e">
        <f t="shared" si="61"/>
        <v>#REF!</v>
      </c>
      <c r="BF48" s="352" t="e">
        <f t="shared" si="61"/>
        <v>#REF!</v>
      </c>
      <c r="BG48" s="352" t="e">
        <f t="shared" si="61"/>
        <v>#REF!</v>
      </c>
      <c r="BH48" s="352" t="e">
        <f t="shared" si="61"/>
        <v>#REF!</v>
      </c>
      <c r="BI48" s="352" t="e">
        <f t="shared" si="61"/>
        <v>#REF!</v>
      </c>
      <c r="BJ48" s="352" t="e">
        <f t="shared" si="61"/>
        <v>#REF!</v>
      </c>
      <c r="BK48" s="352" t="e">
        <f t="shared" si="61"/>
        <v>#REF!</v>
      </c>
      <c r="BL48" s="352" t="e">
        <f t="shared" si="61"/>
        <v>#REF!</v>
      </c>
      <c r="BM48" s="352" t="e">
        <f t="shared" si="61"/>
        <v>#REF!</v>
      </c>
      <c r="BN48" s="352" t="e">
        <f t="shared" si="61"/>
        <v>#REF!</v>
      </c>
      <c r="BO48" s="352" t="e">
        <f t="shared" si="61"/>
        <v>#REF!</v>
      </c>
      <c r="BP48" s="352" t="e">
        <f t="shared" si="61"/>
        <v>#REF!</v>
      </c>
      <c r="BQ48" s="352" t="e">
        <f t="shared" si="61"/>
        <v>#REF!</v>
      </c>
      <c r="BR48" s="352" t="e">
        <f t="shared" si="61"/>
        <v>#REF!</v>
      </c>
      <c r="BS48" s="352" t="e">
        <f t="shared" si="61"/>
        <v>#REF!</v>
      </c>
      <c r="BT48" s="352" t="e">
        <f t="shared" si="61"/>
        <v>#REF!</v>
      </c>
      <c r="BU48" s="352">
        <f>AD48+BU47</f>
        <v>0</v>
      </c>
      <c r="BV48" s="352">
        <f t="shared" ref="BV48:CA48" si="62">BU48+BV47</f>
        <v>0</v>
      </c>
      <c r="BW48" s="352">
        <f t="shared" si="62"/>
        <v>0</v>
      </c>
      <c r="BX48" s="352">
        <f t="shared" si="62"/>
        <v>0</v>
      </c>
      <c r="BY48" s="352">
        <f t="shared" si="62"/>
        <v>0</v>
      </c>
      <c r="BZ48" s="352">
        <f t="shared" si="62"/>
        <v>0</v>
      </c>
      <c r="CA48" s="352">
        <f t="shared" si="62"/>
        <v>0</v>
      </c>
      <c r="CB48" s="352" t="e">
        <f>AR48+CB47</f>
        <v>#REF!</v>
      </c>
      <c r="CC48" s="352" t="e">
        <f>CB48+CC47</f>
        <v>#REF!</v>
      </c>
      <c r="CD48" s="352" t="e">
        <f>CC48+CD47</f>
        <v>#REF!</v>
      </c>
      <c r="CE48" s="352" t="e">
        <f>CC48+CE47</f>
        <v>#REF!</v>
      </c>
      <c r="CF48" s="352" t="e">
        <f>CD48+CF47</f>
        <v>#REF!</v>
      </c>
      <c r="CG48" s="352" t="e">
        <f>CF48+CG47</f>
        <v>#REF!</v>
      </c>
      <c r="CH48" s="352" t="e">
        <f>CG48+CH47+CH72</f>
        <v>#REF!</v>
      </c>
      <c r="CI48" s="352" t="e">
        <f t="shared" ref="CI48:DJ48" si="63">CH48+CI47</f>
        <v>#REF!</v>
      </c>
      <c r="CJ48" s="352" t="e">
        <f t="shared" si="63"/>
        <v>#REF!</v>
      </c>
      <c r="CK48" s="352" t="e">
        <f t="shared" si="63"/>
        <v>#REF!</v>
      </c>
      <c r="CL48" s="352" t="e">
        <f t="shared" si="63"/>
        <v>#REF!</v>
      </c>
      <c r="CM48" s="352" t="e">
        <f t="shared" si="63"/>
        <v>#REF!</v>
      </c>
      <c r="CN48" s="352" t="e">
        <f t="shared" si="63"/>
        <v>#REF!</v>
      </c>
      <c r="CO48" s="352" t="e">
        <f t="shared" si="63"/>
        <v>#REF!</v>
      </c>
      <c r="CP48" s="352" t="e">
        <f t="shared" si="63"/>
        <v>#REF!</v>
      </c>
      <c r="CQ48" s="352" t="e">
        <f t="shared" si="63"/>
        <v>#REF!</v>
      </c>
      <c r="CR48" s="352" t="e">
        <f t="shared" si="63"/>
        <v>#REF!</v>
      </c>
      <c r="CS48" s="352" t="e">
        <f t="shared" si="63"/>
        <v>#REF!</v>
      </c>
      <c r="CT48" s="352" t="e">
        <f t="shared" si="63"/>
        <v>#REF!</v>
      </c>
      <c r="CU48" s="352" t="e">
        <f t="shared" si="63"/>
        <v>#REF!</v>
      </c>
      <c r="CV48" s="352" t="e">
        <f t="shared" si="63"/>
        <v>#REF!</v>
      </c>
      <c r="CW48" s="352" t="e">
        <f t="shared" si="63"/>
        <v>#REF!</v>
      </c>
      <c r="CX48" s="352" t="e">
        <f t="shared" si="63"/>
        <v>#REF!</v>
      </c>
      <c r="CY48" s="352" t="e">
        <f t="shared" si="63"/>
        <v>#REF!</v>
      </c>
      <c r="CZ48" s="352" t="e">
        <f t="shared" si="63"/>
        <v>#REF!</v>
      </c>
      <c r="DA48" s="352" t="e">
        <f t="shared" si="63"/>
        <v>#REF!</v>
      </c>
      <c r="DB48" s="352" t="e">
        <f t="shared" si="63"/>
        <v>#REF!</v>
      </c>
      <c r="DC48" s="352" t="e">
        <f t="shared" si="63"/>
        <v>#REF!</v>
      </c>
      <c r="DD48" s="352" t="e">
        <f t="shared" si="63"/>
        <v>#REF!</v>
      </c>
      <c r="DE48" s="352" t="e">
        <f t="shared" si="63"/>
        <v>#REF!</v>
      </c>
      <c r="DF48" s="352" t="e">
        <f t="shared" si="63"/>
        <v>#REF!</v>
      </c>
      <c r="DG48" s="352" t="e">
        <f t="shared" si="63"/>
        <v>#REF!</v>
      </c>
      <c r="DH48" s="352" t="e">
        <f t="shared" si="63"/>
        <v>#REF!</v>
      </c>
      <c r="DI48" s="352" t="e">
        <f t="shared" si="63"/>
        <v>#REF!</v>
      </c>
      <c r="DJ48" s="352" t="e">
        <f t="shared" si="63"/>
        <v>#REF!</v>
      </c>
      <c r="DK48" s="352">
        <f>CA48+DK47</f>
        <v>0</v>
      </c>
      <c r="DL48" s="352">
        <f>DK48+DL47</f>
        <v>0</v>
      </c>
      <c r="DM48" s="352">
        <f>DL48+DM47</f>
        <v>0</v>
      </c>
      <c r="DN48" s="352">
        <f>DL48+DN47</f>
        <v>0</v>
      </c>
      <c r="DO48" s="352">
        <f>DM48+DO47</f>
        <v>0</v>
      </c>
      <c r="DP48" s="352">
        <f>DO48+DP47</f>
        <v>0</v>
      </c>
      <c r="DQ48" s="352">
        <f>DP48+DQ47+DQ72</f>
        <v>0</v>
      </c>
      <c r="DR48" s="352" t="e">
        <f>CO48+DR47</f>
        <v>#REF!</v>
      </c>
      <c r="DS48" s="352" t="e">
        <f t="shared" ref="DS48:ES48" si="64">DR48+DS47</f>
        <v>#REF!</v>
      </c>
      <c r="DT48" s="352" t="e">
        <f t="shared" si="64"/>
        <v>#REF!</v>
      </c>
      <c r="DU48" s="352" t="e">
        <f t="shared" si="64"/>
        <v>#REF!</v>
      </c>
      <c r="DV48" s="352" t="e">
        <f t="shared" si="64"/>
        <v>#REF!</v>
      </c>
      <c r="DW48" s="352" t="e">
        <f t="shared" si="64"/>
        <v>#REF!</v>
      </c>
      <c r="DX48" s="352" t="e">
        <f t="shared" si="64"/>
        <v>#REF!</v>
      </c>
      <c r="DY48" s="352" t="e">
        <f t="shared" si="64"/>
        <v>#REF!</v>
      </c>
      <c r="DZ48" s="352" t="e">
        <f t="shared" si="64"/>
        <v>#REF!</v>
      </c>
      <c r="EA48" s="352" t="e">
        <f t="shared" si="64"/>
        <v>#REF!</v>
      </c>
      <c r="EB48" s="352" t="e">
        <f t="shared" si="64"/>
        <v>#REF!</v>
      </c>
      <c r="EC48" s="352" t="e">
        <f t="shared" si="64"/>
        <v>#REF!</v>
      </c>
      <c r="ED48" s="352" t="e">
        <f t="shared" si="64"/>
        <v>#REF!</v>
      </c>
      <c r="EE48" s="352" t="e">
        <f t="shared" si="64"/>
        <v>#REF!</v>
      </c>
      <c r="EF48" s="352" t="e">
        <f t="shared" si="64"/>
        <v>#REF!</v>
      </c>
      <c r="EG48" s="352" t="e">
        <f t="shared" si="64"/>
        <v>#REF!</v>
      </c>
      <c r="EH48" s="352" t="e">
        <f t="shared" si="64"/>
        <v>#REF!</v>
      </c>
      <c r="EI48" s="352" t="e">
        <f t="shared" si="64"/>
        <v>#REF!</v>
      </c>
      <c r="EJ48" s="352" t="e">
        <f t="shared" si="64"/>
        <v>#REF!</v>
      </c>
      <c r="EK48" s="352" t="e">
        <f t="shared" si="64"/>
        <v>#REF!</v>
      </c>
      <c r="EL48" s="352" t="e">
        <f t="shared" si="64"/>
        <v>#REF!</v>
      </c>
      <c r="EM48" s="352" t="e">
        <f t="shared" si="64"/>
        <v>#REF!</v>
      </c>
      <c r="EN48" s="352" t="e">
        <f t="shared" si="64"/>
        <v>#REF!</v>
      </c>
      <c r="EO48" s="352" t="e">
        <f t="shared" si="64"/>
        <v>#REF!</v>
      </c>
      <c r="EP48" s="352" t="e">
        <f t="shared" si="64"/>
        <v>#REF!</v>
      </c>
      <c r="EQ48" s="352" t="e">
        <f t="shared" si="64"/>
        <v>#REF!</v>
      </c>
      <c r="ER48" s="352" t="e">
        <f t="shared" si="64"/>
        <v>#REF!</v>
      </c>
      <c r="ES48" s="352" t="e">
        <f t="shared" si="64"/>
        <v>#REF!</v>
      </c>
      <c r="ET48" s="352">
        <f>DQ48+ET47</f>
        <v>0</v>
      </c>
      <c r="EU48" s="352">
        <f t="shared" ref="EU48:FU48" si="65">ET48+EU47</f>
        <v>0</v>
      </c>
      <c r="EV48" s="352">
        <f t="shared" si="65"/>
        <v>0</v>
      </c>
      <c r="EW48" s="352">
        <f t="shared" si="65"/>
        <v>0</v>
      </c>
      <c r="EX48" s="352">
        <f t="shared" si="65"/>
        <v>0</v>
      </c>
      <c r="EY48" s="352">
        <f t="shared" si="65"/>
        <v>0</v>
      </c>
      <c r="EZ48" s="352">
        <f t="shared" si="65"/>
        <v>0</v>
      </c>
      <c r="FA48" s="352">
        <f t="shared" si="65"/>
        <v>0</v>
      </c>
      <c r="FB48" s="352">
        <f t="shared" si="65"/>
        <v>0</v>
      </c>
      <c r="FC48" s="352">
        <f t="shared" si="65"/>
        <v>0</v>
      </c>
      <c r="FD48" s="352">
        <f t="shared" si="65"/>
        <v>0</v>
      </c>
      <c r="FE48" s="352">
        <f t="shared" si="65"/>
        <v>0</v>
      </c>
      <c r="FF48" s="352">
        <f t="shared" si="65"/>
        <v>0</v>
      </c>
      <c r="FG48" s="352">
        <f t="shared" si="65"/>
        <v>0</v>
      </c>
      <c r="FH48" s="352">
        <f t="shared" si="65"/>
        <v>0</v>
      </c>
      <c r="FI48" s="352">
        <f t="shared" si="65"/>
        <v>0</v>
      </c>
      <c r="FJ48" s="352">
        <f t="shared" si="65"/>
        <v>0</v>
      </c>
      <c r="FK48" s="352">
        <f t="shared" si="65"/>
        <v>0</v>
      </c>
      <c r="FL48" s="352">
        <f t="shared" si="65"/>
        <v>0</v>
      </c>
      <c r="FM48" s="352">
        <f t="shared" si="65"/>
        <v>0</v>
      </c>
      <c r="FN48" s="352">
        <f t="shared" si="65"/>
        <v>0</v>
      </c>
      <c r="FO48" s="352">
        <f t="shared" si="65"/>
        <v>0</v>
      </c>
      <c r="FP48" s="352">
        <f t="shared" si="65"/>
        <v>0</v>
      </c>
      <c r="FQ48" s="352">
        <f t="shared" si="65"/>
        <v>0</v>
      </c>
      <c r="FR48" s="352">
        <f t="shared" si="65"/>
        <v>0</v>
      </c>
      <c r="FS48" s="352">
        <f t="shared" si="65"/>
        <v>0</v>
      </c>
      <c r="FT48" s="352">
        <f t="shared" si="65"/>
        <v>0</v>
      </c>
      <c r="FU48" s="352">
        <f t="shared" si="65"/>
        <v>0</v>
      </c>
      <c r="FX48" s="353" t="s">
        <v>644</v>
      </c>
      <c r="FY48" s="339"/>
      <c r="FZ48" s="339"/>
      <c r="GA48" s="339"/>
      <c r="GB48" s="340"/>
      <c r="GC48" s="340"/>
      <c r="GD48" s="340"/>
      <c r="GE48" s="340"/>
      <c r="GF48" s="341">
        <f>SUM(GF43:GF45)</f>
        <v>259326.80144000001</v>
      </c>
    </row>
    <row r="49" spans="4:188" ht="15" thickTop="1" x14ac:dyDescent="0.3"/>
    <row r="50" spans="4:188" x14ac:dyDescent="0.3">
      <c r="O50" s="354" t="s">
        <v>645</v>
      </c>
      <c r="P50" s="354" t="s">
        <v>646</v>
      </c>
      <c r="Q50" s="354" t="s">
        <v>647</v>
      </c>
      <c r="R50" s="354" t="s">
        <v>648</v>
      </c>
      <c r="S50" s="354" t="s">
        <v>649</v>
      </c>
      <c r="T50" s="354" t="s">
        <v>650</v>
      </c>
      <c r="U50" s="354" t="s">
        <v>651</v>
      </c>
      <c r="V50" s="354" t="s">
        <v>652</v>
      </c>
      <c r="W50" s="354" t="s">
        <v>653</v>
      </c>
      <c r="X50" s="354" t="s">
        <v>654</v>
      </c>
      <c r="Y50" s="354" t="s">
        <v>655</v>
      </c>
      <c r="Z50" s="354" t="s">
        <v>656</v>
      </c>
      <c r="AA50" s="354" t="s">
        <v>657</v>
      </c>
      <c r="AB50" s="354" t="s">
        <v>657</v>
      </c>
      <c r="AC50" s="354" t="s">
        <v>657</v>
      </c>
      <c r="AD50" s="354" t="s">
        <v>657</v>
      </c>
      <c r="AE50" s="354" t="s">
        <v>657</v>
      </c>
      <c r="AF50" s="354" t="s">
        <v>657</v>
      </c>
    </row>
    <row r="51" spans="4:188" x14ac:dyDescent="0.3">
      <c r="N51" s="355" t="s">
        <v>658</v>
      </c>
      <c r="O51" s="356">
        <v>44713</v>
      </c>
      <c r="P51" s="356">
        <f t="shared" ref="P51:V51" si="66">O51+31</f>
        <v>44744</v>
      </c>
      <c r="Q51" s="356">
        <f t="shared" si="66"/>
        <v>44775</v>
      </c>
      <c r="R51" s="356">
        <f t="shared" si="66"/>
        <v>44806</v>
      </c>
      <c r="S51" s="356">
        <f t="shared" si="66"/>
        <v>44837</v>
      </c>
      <c r="T51" s="356">
        <f t="shared" si="66"/>
        <v>44868</v>
      </c>
      <c r="U51" s="356">
        <f t="shared" si="66"/>
        <v>44899</v>
      </c>
      <c r="V51" s="356">
        <f t="shared" si="66"/>
        <v>44930</v>
      </c>
      <c r="W51" s="357">
        <f t="shared" ref="W51:AF51" si="67">V51+7</f>
        <v>44937</v>
      </c>
      <c r="X51" s="357">
        <f t="shared" si="67"/>
        <v>44944</v>
      </c>
      <c r="Y51" s="357">
        <f t="shared" si="67"/>
        <v>44951</v>
      </c>
      <c r="Z51" s="357">
        <f t="shared" si="67"/>
        <v>44958</v>
      </c>
      <c r="AA51" s="357">
        <f t="shared" si="67"/>
        <v>44965</v>
      </c>
      <c r="AB51" s="357">
        <f t="shared" si="67"/>
        <v>44972</v>
      </c>
      <c r="AC51" s="357">
        <f t="shared" si="67"/>
        <v>44979</v>
      </c>
      <c r="AD51" s="357">
        <f t="shared" si="67"/>
        <v>44986</v>
      </c>
      <c r="AE51" s="357">
        <f t="shared" si="67"/>
        <v>44993</v>
      </c>
      <c r="AF51" s="357">
        <f t="shared" si="67"/>
        <v>45000</v>
      </c>
      <c r="AJ51" s="337"/>
      <c r="BW51" s="337"/>
    </row>
    <row r="52" spans="4:188" ht="20.100000000000001" customHeight="1" x14ac:dyDescent="0.3">
      <c r="D52" s="358"/>
      <c r="M52" s="342" t="s">
        <v>628</v>
      </c>
      <c r="N52" s="359">
        <v>0</v>
      </c>
      <c r="O52" s="360">
        <f>$M$43*21*8</f>
        <v>241.92</v>
      </c>
      <c r="P52" s="360">
        <f>$M$43*20*8</f>
        <v>230.39999999999998</v>
      </c>
      <c r="Q52" s="360">
        <f>$M$43*23*8</f>
        <v>264.95999999999998</v>
      </c>
      <c r="R52" s="360">
        <f>$M$43*19*8</f>
        <v>218.88</v>
      </c>
      <c r="S52" s="360">
        <f>$M$43*20*8</f>
        <v>230.39999999999998</v>
      </c>
      <c r="T52" s="360">
        <f>$M$43*19*8</f>
        <v>218.88</v>
      </c>
      <c r="U52" s="360">
        <f>$M$43*18*8</f>
        <v>207.35999999999999</v>
      </c>
      <c r="V52" s="360">
        <f>$M$43*20*8</f>
        <v>230.39999999999998</v>
      </c>
      <c r="W52" s="360">
        <f>W58*$M$43*5</f>
        <v>0</v>
      </c>
      <c r="X52" s="360">
        <f>X58*$M$43*5</f>
        <v>0</v>
      </c>
      <c r="Y52" s="360">
        <f>Y58*$M$43*5</f>
        <v>0</v>
      </c>
      <c r="Z52" s="360">
        <f>Z58*$M$43*5</f>
        <v>0</v>
      </c>
      <c r="AA52" s="360">
        <f>AA58*$M$43*5</f>
        <v>0</v>
      </c>
      <c r="AB52" s="360">
        <f>(AB58*$M$43*5)</f>
        <v>0</v>
      </c>
      <c r="AC52" s="360">
        <f>(AC58*$M$43*5)</f>
        <v>0</v>
      </c>
      <c r="AD52" s="360">
        <f>(AD58*$M$43*5)</f>
        <v>0</v>
      </c>
      <c r="AE52" s="360">
        <f>(AE58*$M$43*5)</f>
        <v>0</v>
      </c>
      <c r="AF52" s="360">
        <f>(AF58*$M$43*5)</f>
        <v>0</v>
      </c>
      <c r="AH52" s="337"/>
      <c r="AM52" s="337"/>
      <c r="BU52" s="337"/>
      <c r="BZ52" s="337"/>
      <c r="GD52" s="361"/>
      <c r="GE52" s="361"/>
      <c r="GF52" s="361"/>
    </row>
    <row r="53" spans="4:188" ht="20.100000000000001" customHeight="1" x14ac:dyDescent="0.3">
      <c r="M53" s="342" t="s">
        <v>641</v>
      </c>
      <c r="N53" s="359">
        <v>0</v>
      </c>
      <c r="O53" s="360">
        <f>O52</f>
        <v>241.92</v>
      </c>
      <c r="P53" s="360">
        <f>O53+P52</f>
        <v>472.31999999999994</v>
      </c>
      <c r="Q53" s="360">
        <f>P53+Q52</f>
        <v>737.28</v>
      </c>
      <c r="R53" s="360">
        <f t="shared" ref="R53:AE53" si="68">Q53+R52</f>
        <v>956.16</v>
      </c>
      <c r="S53" s="360">
        <f t="shared" si="68"/>
        <v>1186.56</v>
      </c>
      <c r="T53" s="360">
        <f t="shared" si="68"/>
        <v>1405.44</v>
      </c>
      <c r="U53" s="360">
        <f t="shared" si="68"/>
        <v>1612.8</v>
      </c>
      <c r="V53" s="360">
        <f t="shared" si="68"/>
        <v>1843.1999999999998</v>
      </c>
      <c r="W53" s="360">
        <f t="shared" si="68"/>
        <v>1843.1999999999998</v>
      </c>
      <c r="X53" s="360">
        <f t="shared" si="68"/>
        <v>1843.1999999999998</v>
      </c>
      <c r="Y53" s="360">
        <f t="shared" si="68"/>
        <v>1843.1999999999998</v>
      </c>
      <c r="Z53" s="360">
        <f t="shared" si="68"/>
        <v>1843.1999999999998</v>
      </c>
      <c r="AA53" s="360">
        <f t="shared" si="68"/>
        <v>1843.1999999999998</v>
      </c>
      <c r="AB53" s="360">
        <f t="shared" si="68"/>
        <v>1843.1999999999998</v>
      </c>
      <c r="AC53" s="360">
        <f t="shared" si="68"/>
        <v>1843.1999999999998</v>
      </c>
      <c r="AD53" s="360">
        <f t="shared" si="68"/>
        <v>1843.1999999999998</v>
      </c>
      <c r="AE53" s="360">
        <f t="shared" si="68"/>
        <v>1843.1999999999998</v>
      </c>
      <c r="AF53" s="360">
        <f>AE53+AF52</f>
        <v>1843.1999999999998</v>
      </c>
      <c r="AI53" s="362">
        <f>AL53-AF53</f>
        <v>150.00000000000023</v>
      </c>
      <c r="AL53" s="322">
        <v>1993.2</v>
      </c>
      <c r="AM53" s="322">
        <v>1111.5866809090915</v>
      </c>
      <c r="AN53" s="322">
        <f>AM53-T55</f>
        <v>1111.5866809090915</v>
      </c>
      <c r="AY53" s="965"/>
      <c r="AZ53" s="966"/>
      <c r="BA53" s="966"/>
      <c r="BB53" s="966"/>
      <c r="BF53" s="965"/>
      <c r="BG53" s="966"/>
      <c r="BH53" s="966"/>
      <c r="BI53" s="966"/>
      <c r="BM53" s="965"/>
      <c r="BN53" s="966"/>
      <c r="BO53" s="966"/>
      <c r="BP53" s="966"/>
      <c r="BT53" s="965"/>
      <c r="CO53" s="965"/>
      <c r="CP53" s="966"/>
      <c r="CQ53" s="966"/>
      <c r="CR53" s="966"/>
      <c r="CV53" s="965"/>
      <c r="CW53" s="966"/>
      <c r="CX53" s="966"/>
      <c r="CY53" s="966"/>
      <c r="DC53" s="965"/>
      <c r="DD53" s="966"/>
      <c r="DE53" s="966"/>
      <c r="DF53" s="966"/>
      <c r="DJ53" s="965"/>
      <c r="DX53" s="965"/>
      <c r="DY53" s="966"/>
      <c r="DZ53" s="966"/>
      <c r="EA53" s="966"/>
      <c r="EE53" s="965"/>
      <c r="EF53" s="966"/>
      <c r="EG53" s="966"/>
      <c r="EH53" s="966"/>
      <c r="EL53" s="965"/>
      <c r="EM53" s="966"/>
      <c r="EN53" s="966"/>
      <c r="EO53" s="966"/>
      <c r="ES53" s="965"/>
      <c r="EZ53" s="965"/>
      <c r="FA53" s="966"/>
      <c r="FB53" s="966"/>
      <c r="FC53" s="966"/>
      <c r="FG53" s="965"/>
      <c r="FH53" s="966"/>
      <c r="FI53" s="966"/>
      <c r="FJ53" s="966"/>
      <c r="FN53" s="965"/>
      <c r="FO53" s="966"/>
      <c r="FP53" s="966"/>
      <c r="FQ53" s="966"/>
      <c r="FU53" s="965"/>
      <c r="FX53" s="363"/>
      <c r="FY53" s="363"/>
    </row>
    <row r="54" spans="4:188" ht="20.100000000000001" customHeight="1" x14ac:dyDescent="0.3">
      <c r="M54" s="342" t="s">
        <v>642</v>
      </c>
      <c r="N54" s="359">
        <v>0</v>
      </c>
      <c r="O54" s="364"/>
      <c r="P54" s="364"/>
      <c r="Q54" s="364"/>
      <c r="R54" s="364"/>
      <c r="S54" s="364"/>
      <c r="T54" s="364"/>
      <c r="U54" s="364"/>
      <c r="V54" s="364"/>
      <c r="W54" s="364"/>
      <c r="X54" s="364"/>
      <c r="Y54" s="364"/>
      <c r="Z54" s="364"/>
      <c r="AA54" s="364"/>
      <c r="AB54" s="364"/>
      <c r="AC54" s="364"/>
      <c r="AD54" s="364"/>
      <c r="AE54" s="364"/>
      <c r="AF54" s="364"/>
      <c r="AH54" s="337"/>
      <c r="AI54" s="337">
        <v>135.9708</v>
      </c>
      <c r="AJ54" s="322"/>
      <c r="AL54" s="322"/>
      <c r="AN54" s="246">
        <f>AN53/2</f>
        <v>555.79334045454573</v>
      </c>
      <c r="AY54" s="966"/>
      <c r="AZ54" s="966"/>
      <c r="BA54" s="966"/>
      <c r="BB54" s="966"/>
      <c r="BF54" s="966"/>
      <c r="BG54" s="966"/>
      <c r="BH54" s="966"/>
      <c r="BI54" s="966"/>
      <c r="BM54" s="966"/>
      <c r="BN54" s="966"/>
      <c r="BO54" s="966"/>
      <c r="BP54" s="966"/>
      <c r="BT54" s="966"/>
      <c r="BU54" s="337"/>
      <c r="BV54" s="337"/>
      <c r="BW54" s="322"/>
      <c r="BY54" s="322"/>
      <c r="CO54" s="966"/>
      <c r="CP54" s="966"/>
      <c r="CQ54" s="966"/>
      <c r="CR54" s="966"/>
      <c r="CV54" s="966"/>
      <c r="CW54" s="966"/>
      <c r="CX54" s="966"/>
      <c r="CY54" s="966"/>
      <c r="DC54" s="966"/>
      <c r="DD54" s="966"/>
      <c r="DE54" s="966"/>
      <c r="DF54" s="966"/>
      <c r="DJ54" s="966"/>
      <c r="DX54" s="966"/>
      <c r="DY54" s="966"/>
      <c r="DZ54" s="966"/>
      <c r="EA54" s="966"/>
      <c r="EE54" s="966"/>
      <c r="EF54" s="966"/>
      <c r="EG54" s="966"/>
      <c r="EH54" s="966"/>
      <c r="EL54" s="966"/>
      <c r="EM54" s="966"/>
      <c r="EN54" s="966"/>
      <c r="EO54" s="966"/>
      <c r="ES54" s="966"/>
      <c r="EZ54" s="966"/>
      <c r="FA54" s="966"/>
      <c r="FB54" s="966"/>
      <c r="FC54" s="966"/>
      <c r="FG54" s="966"/>
      <c r="FH54" s="966"/>
      <c r="FI54" s="966"/>
      <c r="FJ54" s="966"/>
      <c r="FN54" s="966"/>
      <c r="FO54" s="966"/>
      <c r="FP54" s="966"/>
      <c r="FQ54" s="966"/>
      <c r="FU54" s="966"/>
    </row>
    <row r="55" spans="4:188" ht="20.100000000000001" customHeight="1" x14ac:dyDescent="0.3">
      <c r="M55" s="342" t="s">
        <v>643</v>
      </c>
      <c r="N55" s="359">
        <v>0</v>
      </c>
      <c r="O55" s="360">
        <f>O54</f>
        <v>0</v>
      </c>
      <c r="P55" s="360">
        <f>O55+P54</f>
        <v>0</v>
      </c>
      <c r="Q55" s="360">
        <f>P55+Q54</f>
        <v>0</v>
      </c>
      <c r="R55" s="360">
        <f>Q55+R54</f>
        <v>0</v>
      </c>
      <c r="S55" s="360">
        <f>R55+S54</f>
        <v>0</v>
      </c>
      <c r="T55" s="360">
        <f t="shared" ref="T55:AF55" si="69">S55+T54</f>
        <v>0</v>
      </c>
      <c r="U55" s="360">
        <f t="shared" si="69"/>
        <v>0</v>
      </c>
      <c r="V55" s="360">
        <f t="shared" si="69"/>
        <v>0</v>
      </c>
      <c r="W55" s="360">
        <f t="shared" si="69"/>
        <v>0</v>
      </c>
      <c r="X55" s="360">
        <f t="shared" si="69"/>
        <v>0</v>
      </c>
      <c r="Y55" s="360">
        <f t="shared" si="69"/>
        <v>0</v>
      </c>
      <c r="Z55" s="360">
        <f t="shared" si="69"/>
        <v>0</v>
      </c>
      <c r="AA55" s="360">
        <f t="shared" si="69"/>
        <v>0</v>
      </c>
      <c r="AB55" s="360">
        <f t="shared" si="69"/>
        <v>0</v>
      </c>
      <c r="AC55" s="360">
        <f t="shared" si="69"/>
        <v>0</v>
      </c>
      <c r="AD55" s="360">
        <f t="shared" si="69"/>
        <v>0</v>
      </c>
      <c r="AE55" s="360">
        <f t="shared" si="69"/>
        <v>0</v>
      </c>
      <c r="AF55" s="360">
        <f t="shared" si="69"/>
        <v>0</v>
      </c>
      <c r="AH55" s="337"/>
      <c r="AI55" s="337">
        <f>AI53-AI54</f>
        <v>14.02920000000023</v>
      </c>
      <c r="BU55" s="337"/>
      <c r="BV55" s="337"/>
    </row>
    <row r="57" spans="4:188" x14ac:dyDescent="0.3">
      <c r="N57" s="365"/>
      <c r="O57" s="366">
        <f t="shared" ref="O57:V57" si="70">O51</f>
        <v>44713</v>
      </c>
      <c r="P57" s="366">
        <f t="shared" si="70"/>
        <v>44744</v>
      </c>
      <c r="Q57" s="366">
        <f t="shared" si="70"/>
        <v>44775</v>
      </c>
      <c r="R57" s="366">
        <f t="shared" si="70"/>
        <v>44806</v>
      </c>
      <c r="S57" s="366">
        <f t="shared" si="70"/>
        <v>44837</v>
      </c>
      <c r="T57" s="366">
        <f t="shared" si="70"/>
        <v>44868</v>
      </c>
      <c r="U57" s="366">
        <f t="shared" si="70"/>
        <v>44899</v>
      </c>
      <c r="V57" s="366">
        <f t="shared" si="70"/>
        <v>44930</v>
      </c>
      <c r="W57" s="354" t="s">
        <v>653</v>
      </c>
      <c r="X57" s="354" t="s">
        <v>654</v>
      </c>
      <c r="Y57" s="354" t="s">
        <v>655</v>
      </c>
      <c r="Z57" s="354" t="s">
        <v>656</v>
      </c>
      <c r="AA57" s="354" t="s">
        <v>657</v>
      </c>
      <c r="AB57" s="354" t="s">
        <v>657</v>
      </c>
      <c r="AC57" s="354" t="s">
        <v>657</v>
      </c>
      <c r="AD57" s="354" t="s">
        <v>657</v>
      </c>
      <c r="AE57" s="354" t="s">
        <v>657</v>
      </c>
      <c r="AF57" s="354" t="s">
        <v>657</v>
      </c>
      <c r="AH57" s="246">
        <v>970.74</v>
      </c>
      <c r="AI57" s="322">
        <f>AH57-R55</f>
        <v>970.74</v>
      </c>
    </row>
    <row r="58" spans="4:188" x14ac:dyDescent="0.3">
      <c r="M58" s="337"/>
      <c r="N58" s="294" t="s">
        <v>628</v>
      </c>
      <c r="O58" s="367">
        <v>8</v>
      </c>
      <c r="P58" s="367">
        <v>8</v>
      </c>
      <c r="Q58" s="367">
        <v>8</v>
      </c>
      <c r="R58" s="367">
        <v>8</v>
      </c>
      <c r="S58" s="367">
        <v>8</v>
      </c>
      <c r="T58" s="367">
        <v>8</v>
      </c>
      <c r="U58" s="367">
        <v>8</v>
      </c>
      <c r="V58" s="367">
        <v>8</v>
      </c>
      <c r="W58" s="367"/>
      <c r="X58" s="367"/>
      <c r="Y58" s="367"/>
      <c r="Z58" s="367"/>
      <c r="AA58" s="367"/>
      <c r="AB58" s="367"/>
      <c r="AC58" s="367"/>
      <c r="AD58" s="367"/>
      <c r="AE58" s="367"/>
      <c r="AF58" s="367"/>
    </row>
    <row r="59" spans="4:188" x14ac:dyDescent="0.3">
      <c r="N59" s="368" t="s">
        <v>642</v>
      </c>
      <c r="O59" s="369"/>
      <c r="P59" s="369"/>
      <c r="Q59" s="369"/>
      <c r="R59" s="369"/>
      <c r="S59" s="369"/>
      <c r="T59" s="369"/>
      <c r="U59" s="369"/>
      <c r="V59" s="369"/>
      <c r="W59" s="369"/>
      <c r="X59" s="369"/>
      <c r="Y59" s="369"/>
      <c r="Z59" s="369"/>
      <c r="AA59" s="369"/>
      <c r="AB59" s="369"/>
      <c r="AC59" s="369"/>
      <c r="AD59" s="369"/>
      <c r="AE59" s="369"/>
      <c r="AF59" s="369"/>
    </row>
    <row r="63" spans="4:188" x14ac:dyDescent="0.3">
      <c r="U63" s="246">
        <v>1197.8449392424247</v>
      </c>
    </row>
    <row r="64" spans="4:188" x14ac:dyDescent="0.3">
      <c r="U64" s="370">
        <f>U63-W55</f>
        <v>1197.8449392424247</v>
      </c>
    </row>
    <row r="95" spans="40:40" ht="15" customHeight="1" x14ac:dyDescent="0.3"/>
    <row r="96" spans="40:40" ht="18.75" customHeight="1" x14ac:dyDescent="0.3">
      <c r="AN96" s="371">
        <f>AN98/AN97</f>
        <v>0</v>
      </c>
    </row>
    <row r="97" spans="39:42" ht="18.75" customHeight="1" x14ac:dyDescent="0.3">
      <c r="AM97" s="372" t="s">
        <v>659</v>
      </c>
      <c r="AN97" s="373">
        <v>1993.1732000000009</v>
      </c>
      <c r="AO97" s="322">
        <f>AN97-AF53</f>
        <v>149.97320000000104</v>
      </c>
      <c r="AP97" s="246">
        <f>AO97/5</f>
        <v>29.99464000000021</v>
      </c>
    </row>
    <row r="98" spans="39:42" ht="18.75" customHeight="1" x14ac:dyDescent="0.3">
      <c r="AM98" s="372" t="s">
        <v>660</v>
      </c>
      <c r="AN98" s="373">
        <f>AF55</f>
        <v>0</v>
      </c>
    </row>
    <row r="99" spans="39:42" ht="18.75" customHeight="1" x14ac:dyDescent="0.3">
      <c r="AM99" s="372" t="s">
        <v>661</v>
      </c>
      <c r="AN99" s="374">
        <f>AN97-AN98</f>
        <v>1993.1732000000009</v>
      </c>
    </row>
    <row r="100" spans="39:42" ht="15" customHeight="1" x14ac:dyDescent="0.3"/>
    <row r="101" spans="39:42" ht="15" customHeight="1" x14ac:dyDescent="0.3"/>
  </sheetData>
  <autoFilter ref="A6:EY36" xr:uid="{00000000-0009-0000-0000-000007000000}"/>
  <mergeCells count="29">
    <mergeCell ref="ES53:ES54"/>
    <mergeCell ref="AY53:BB54"/>
    <mergeCell ref="BF53:BI54"/>
    <mergeCell ref="BM53:BP54"/>
    <mergeCell ref="BT53:BT54"/>
    <mergeCell ref="CO53:CR54"/>
    <mergeCell ref="CV53:CY54"/>
    <mergeCell ref="DC53:DF54"/>
    <mergeCell ref="DJ53:DJ54"/>
    <mergeCell ref="DX53:EA54"/>
    <mergeCell ref="EE53:EH54"/>
    <mergeCell ref="EL53:EO54"/>
    <mergeCell ref="GH36:GL36"/>
    <mergeCell ref="FY38:GA38"/>
    <mergeCell ref="GI38:GK38"/>
    <mergeCell ref="FY39:GA39"/>
    <mergeCell ref="GI39:GK39"/>
    <mergeCell ref="GI40:GK40"/>
    <mergeCell ref="EZ53:FC54"/>
    <mergeCell ref="FG53:FJ54"/>
    <mergeCell ref="FN53:FQ54"/>
    <mergeCell ref="FU53:FU54"/>
    <mergeCell ref="FY3:GE4"/>
    <mergeCell ref="B7:B8"/>
    <mergeCell ref="D7:D8"/>
    <mergeCell ref="F7:F8"/>
    <mergeCell ref="FV7:FV8"/>
    <mergeCell ref="FY7:FY8"/>
    <mergeCell ref="FZ7:FZ8"/>
  </mergeCells>
  <conditionalFormatting sqref="I7:I35">
    <cfRule type="cellIs" dxfId="57" priority="368" operator="between">
      <formula>0.01</formula>
      <formula>0.99</formula>
    </cfRule>
  </conditionalFormatting>
  <conditionalFormatting sqref="I7:I36">
    <cfRule type="cellIs" dxfId="56" priority="369" operator="equal">
      <formula>1</formula>
    </cfRule>
  </conditionalFormatting>
  <conditionalFormatting sqref="N7:AO35">
    <cfRule type="cellIs" dxfId="55" priority="11" operator="greaterThan">
      <formula>0</formula>
    </cfRule>
  </conditionalFormatting>
  <conditionalFormatting sqref="N4:FU4 N43:FU43">
    <cfRule type="expression" dxfId="54" priority="54" stopIfTrue="1">
      <formula>IF(WEEKDAY(N4)=1,TRUE,FALSE)</formula>
    </cfRule>
    <cfRule type="expression" dxfId="53" priority="55" stopIfTrue="1">
      <formula>IF(WEEKDAY(N4)=7,TRUE,FALSE)</formula>
    </cfRule>
  </conditionalFormatting>
  <conditionalFormatting sqref="O8:R8">
    <cfRule type="cellIs" dxfId="52" priority="13" operator="greaterThan">
      <formula>0</formula>
    </cfRule>
  </conditionalFormatting>
  <conditionalFormatting sqref="T38:T40">
    <cfRule type="cellIs" dxfId="51" priority="347" operator="greaterThan">
      <formula>0</formula>
    </cfRule>
  </conditionalFormatting>
  <conditionalFormatting sqref="V8:Y8">
    <cfRule type="cellIs" dxfId="50" priority="7" operator="greaterThan">
      <formula>0</formula>
    </cfRule>
  </conditionalFormatting>
  <conditionalFormatting sqref="AA38:AA40">
    <cfRule type="cellIs" dxfId="49" priority="346" operator="greaterThan">
      <formula>0</formula>
    </cfRule>
  </conditionalFormatting>
  <conditionalFormatting sqref="AC8:AF8">
    <cfRule type="cellIs" dxfId="48" priority="156" operator="greaterThan">
      <formula>0</formula>
    </cfRule>
  </conditionalFormatting>
  <conditionalFormatting sqref="AH38:AH40">
    <cfRule type="cellIs" dxfId="47" priority="273" operator="greaterThan">
      <formula>0</formula>
    </cfRule>
  </conditionalFormatting>
  <conditionalFormatting sqref="AJ8:AM8">
    <cfRule type="cellIs" dxfId="46" priority="151" operator="greaterThan">
      <formula>0</formula>
    </cfRule>
  </conditionalFormatting>
  <conditionalFormatting sqref="AO38:AO40">
    <cfRule type="cellIs" dxfId="45" priority="272" operator="greaterThan">
      <formula>0</formula>
    </cfRule>
  </conditionalFormatting>
  <conditionalFormatting sqref="AP7:CA8">
    <cfRule type="cellIs" dxfId="44" priority="1" operator="greaterThan">
      <formula>0</formula>
    </cfRule>
  </conditionalFormatting>
  <conditionalFormatting sqref="AP9:CD35">
    <cfRule type="cellIs" dxfId="43" priority="213" operator="greaterThan">
      <formula>0</formula>
    </cfRule>
  </conditionalFormatting>
  <conditionalFormatting sqref="AQ8:AT8">
    <cfRule type="cellIs" dxfId="42" priority="146" operator="greaterThan">
      <formula>0</formula>
    </cfRule>
  </conditionalFormatting>
  <conditionalFormatting sqref="AV38:AV40">
    <cfRule type="cellIs" dxfId="41" priority="271" operator="greaterThan">
      <formula>0</formula>
    </cfRule>
  </conditionalFormatting>
  <conditionalFormatting sqref="AX8:BA8">
    <cfRule type="cellIs" dxfId="40" priority="141" operator="greaterThan">
      <formula>0</formula>
    </cfRule>
  </conditionalFormatting>
  <conditionalFormatting sqref="BC38:BC40">
    <cfRule type="cellIs" dxfId="39" priority="263" operator="greaterThan">
      <formula>0</formula>
    </cfRule>
  </conditionalFormatting>
  <conditionalFormatting sqref="BE8:BH8">
    <cfRule type="cellIs" dxfId="38" priority="136" operator="greaterThan">
      <formula>0</formula>
    </cfRule>
  </conditionalFormatting>
  <conditionalFormatting sqref="BJ38:BJ40">
    <cfRule type="cellIs" dxfId="37" priority="255" operator="greaterThan">
      <formula>0</formula>
    </cfRule>
  </conditionalFormatting>
  <conditionalFormatting sqref="BL8:BO8">
    <cfRule type="cellIs" dxfId="36" priority="131" operator="greaterThan">
      <formula>0</formula>
    </cfRule>
  </conditionalFormatting>
  <conditionalFormatting sqref="BQ38:BQ40">
    <cfRule type="cellIs" dxfId="35" priority="247" operator="greaterThan">
      <formula>0</formula>
    </cfRule>
  </conditionalFormatting>
  <conditionalFormatting sqref="BS8:BV8">
    <cfRule type="cellIs" dxfId="34" priority="126" operator="greaterThan">
      <formula>0</formula>
    </cfRule>
  </conditionalFormatting>
  <conditionalFormatting sqref="BX38:BX40">
    <cfRule type="cellIs" dxfId="33" priority="345" operator="greaterThan">
      <formula>0</formula>
    </cfRule>
  </conditionalFormatting>
  <conditionalFormatting sqref="CA8:CC8">
    <cfRule type="cellIs" dxfId="32" priority="122" operator="greaterThan">
      <formula>0</formula>
    </cfRule>
  </conditionalFormatting>
  <conditionalFormatting sqref="CB7:CC7">
    <cfRule type="cellIs" dxfId="31" priority="166" operator="greaterThan">
      <formula>0</formula>
    </cfRule>
  </conditionalFormatting>
  <conditionalFormatting sqref="CD7:CD8">
    <cfRule type="cellIs" dxfId="30" priority="176" operator="greaterThan">
      <formula>0</formula>
    </cfRule>
  </conditionalFormatting>
  <conditionalFormatting sqref="CE38:CE40">
    <cfRule type="cellIs" dxfId="29" priority="202" operator="greaterThan">
      <formula>0</formula>
    </cfRule>
  </conditionalFormatting>
  <conditionalFormatting sqref="CE7:FU35">
    <cfRule type="cellIs" dxfId="28" priority="19" operator="greaterThan">
      <formula>0</formula>
    </cfRule>
  </conditionalFormatting>
  <conditionalFormatting sqref="CG8:CJ8">
    <cfRule type="cellIs" dxfId="27" priority="117" operator="greaterThan">
      <formula>0</formula>
    </cfRule>
  </conditionalFormatting>
  <conditionalFormatting sqref="CL38:CL40">
    <cfRule type="cellIs" dxfId="26" priority="201" operator="greaterThan">
      <formula>0</formula>
    </cfRule>
  </conditionalFormatting>
  <conditionalFormatting sqref="CS38:CS40">
    <cfRule type="cellIs" dxfId="25" priority="193" operator="greaterThan">
      <formula>0</formula>
    </cfRule>
  </conditionalFormatting>
  <conditionalFormatting sqref="CU8:CX8">
    <cfRule type="cellIs" dxfId="24" priority="112" operator="greaterThan">
      <formula>0</formula>
    </cfRule>
  </conditionalFormatting>
  <conditionalFormatting sqref="CZ38:CZ40">
    <cfRule type="cellIs" dxfId="23" priority="185" operator="greaterThan">
      <formula>0</formula>
    </cfRule>
  </conditionalFormatting>
  <conditionalFormatting sqref="DB8:DE8">
    <cfRule type="cellIs" dxfId="22" priority="107" operator="greaterThan">
      <formula>0</formula>
    </cfRule>
  </conditionalFormatting>
  <conditionalFormatting sqref="DG38:DG40">
    <cfRule type="cellIs" dxfId="21" priority="177" operator="greaterThan">
      <formula>0</formula>
    </cfRule>
  </conditionalFormatting>
  <conditionalFormatting sqref="DN38:DN40">
    <cfRule type="cellIs" dxfId="20" priority="344" operator="greaterThan">
      <formula>0</formula>
    </cfRule>
  </conditionalFormatting>
  <conditionalFormatting sqref="DP8:DS8">
    <cfRule type="cellIs" dxfId="19" priority="36" operator="greaterThan">
      <formula>0</formula>
    </cfRule>
  </conditionalFormatting>
  <conditionalFormatting sqref="DU38:DU40">
    <cfRule type="cellIs" dxfId="18" priority="72" operator="greaterThan">
      <formula>0</formula>
    </cfRule>
  </conditionalFormatting>
  <conditionalFormatting sqref="DW8:DZ8">
    <cfRule type="cellIs" dxfId="17" priority="31" operator="greaterThan">
      <formula>0</formula>
    </cfRule>
  </conditionalFormatting>
  <conditionalFormatting sqref="EB38:EB40">
    <cfRule type="cellIs" dxfId="16" priority="64" operator="greaterThan">
      <formula>0</formula>
    </cfRule>
  </conditionalFormatting>
  <conditionalFormatting sqref="ED8:EG8">
    <cfRule type="cellIs" dxfId="15" priority="26" operator="greaterThan">
      <formula>0</formula>
    </cfRule>
  </conditionalFormatting>
  <conditionalFormatting sqref="EI38:EI40">
    <cfRule type="cellIs" dxfId="14" priority="56" operator="greaterThan">
      <formula>0</formula>
    </cfRule>
  </conditionalFormatting>
  <conditionalFormatting sqref="EK8:EN8">
    <cfRule type="cellIs" dxfId="13" priority="21" operator="greaterThan">
      <formula>0</formula>
    </cfRule>
  </conditionalFormatting>
  <conditionalFormatting sqref="EP38:EP40">
    <cfRule type="cellIs" dxfId="12" priority="48" operator="greaterThan">
      <formula>0</formula>
    </cfRule>
  </conditionalFormatting>
  <conditionalFormatting sqref="ET8:EU8">
    <cfRule type="cellIs" dxfId="11" priority="97" operator="greaterThan">
      <formula>0</formula>
    </cfRule>
  </conditionalFormatting>
  <conditionalFormatting sqref="EW38:EW40">
    <cfRule type="cellIs" dxfId="10" priority="343" operator="greaterThan">
      <formula>0</formula>
    </cfRule>
  </conditionalFormatting>
  <conditionalFormatting sqref="EY8:FB8">
    <cfRule type="cellIs" dxfId="9" priority="92" operator="greaterThan">
      <formula>0</formula>
    </cfRule>
  </conditionalFormatting>
  <conditionalFormatting sqref="FD38:FD40">
    <cfRule type="cellIs" dxfId="8" priority="335" operator="greaterThan">
      <formula>0</formula>
    </cfRule>
  </conditionalFormatting>
  <conditionalFormatting sqref="FF8:FI8">
    <cfRule type="cellIs" dxfId="7" priority="87" operator="greaterThan">
      <formula>0</formula>
    </cfRule>
  </conditionalFormatting>
  <conditionalFormatting sqref="FK38:FK40">
    <cfRule type="cellIs" dxfId="6" priority="327" operator="greaterThan">
      <formula>0</formula>
    </cfRule>
  </conditionalFormatting>
  <conditionalFormatting sqref="FM8:FP8">
    <cfRule type="cellIs" dxfId="5" priority="82" operator="greaterThan">
      <formula>0</formula>
    </cfRule>
  </conditionalFormatting>
  <conditionalFormatting sqref="FR38:FR40">
    <cfRule type="cellIs" dxfId="4" priority="319" operator="greaterThan">
      <formula>0</formula>
    </cfRule>
  </conditionalFormatting>
  <pageMargins left="0" right="0" top="0.39370078740157483" bottom="0.19685039370078741" header="0.31496062992125984" footer="0.31496062992125984"/>
  <pageSetup paperSize="9"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3"/>
  <dimension ref="A1:O45"/>
  <sheetViews>
    <sheetView showGridLines="0" topLeftCell="A4" zoomScale="80" zoomScaleNormal="80" workbookViewId="0">
      <selection activeCell="J27" sqref="J27"/>
    </sheetView>
  </sheetViews>
  <sheetFormatPr defaultColWidth="9.109375" defaultRowHeight="13.2" x14ac:dyDescent="0.25"/>
  <cols>
    <col min="1" max="1" width="34.33203125" bestFit="1" customWidth="1"/>
    <col min="2" max="2" width="16" customWidth="1"/>
    <col min="3" max="3" width="8.6640625" style="35" bestFit="1" customWidth="1"/>
    <col min="4" max="4" width="4.44140625" customWidth="1"/>
    <col min="5" max="5" width="28" customWidth="1"/>
    <col min="6" max="6" width="16" customWidth="1"/>
    <col min="7" max="7" width="14.44140625" style="35" customWidth="1"/>
    <col min="8" max="8" width="3.44140625" customWidth="1"/>
    <col min="9" max="9" width="28.33203125" customWidth="1"/>
    <col min="10" max="10" width="16" customWidth="1"/>
    <col min="11" max="11" width="14.44140625" style="35" customWidth="1"/>
    <col min="12" max="12" width="2.44140625" customWidth="1"/>
    <col min="13" max="13" width="28" bestFit="1" customWidth="1"/>
    <col min="14" max="14" width="13.109375" customWidth="1"/>
    <col min="15" max="15" width="14.44140625" customWidth="1"/>
  </cols>
  <sheetData>
    <row r="1" spans="1:15" ht="15" customHeight="1" x14ac:dyDescent="0.25">
      <c r="A1" s="998" t="s">
        <v>65</v>
      </c>
      <c r="B1" s="999"/>
      <c r="C1" s="999"/>
      <c r="D1" s="999"/>
      <c r="E1" s="999"/>
      <c r="F1" s="999"/>
      <c r="G1" s="999"/>
      <c r="H1" s="999"/>
      <c r="I1" s="999"/>
      <c r="J1" s="999"/>
      <c r="K1" s="999"/>
      <c r="L1" s="999"/>
      <c r="M1" s="999"/>
      <c r="N1" s="999"/>
      <c r="O1" s="999"/>
    </row>
    <row r="2" spans="1:15" ht="15" customHeight="1" x14ac:dyDescent="0.25">
      <c r="A2" s="1000" t="s">
        <v>64</v>
      </c>
      <c r="B2" s="1001"/>
      <c r="C2" s="1001"/>
      <c r="D2" s="1001"/>
      <c r="E2" s="1001"/>
      <c r="F2" s="1001"/>
      <c r="G2" s="1001"/>
      <c r="H2" s="1001"/>
      <c r="I2" s="1001"/>
      <c r="J2" s="1001"/>
      <c r="K2" s="1001"/>
      <c r="L2" s="1001"/>
      <c r="M2" s="1001"/>
      <c r="N2" s="1001"/>
      <c r="O2" s="1001"/>
    </row>
    <row r="3" spans="1:15" ht="15" customHeight="1" x14ac:dyDescent="0.25">
      <c r="A3" s="1000"/>
      <c r="B3" s="1001"/>
      <c r="C3" s="1001"/>
      <c r="D3" s="1001"/>
      <c r="E3" s="1001"/>
      <c r="F3" s="1001"/>
      <c r="G3" s="1001"/>
      <c r="H3" s="1001"/>
      <c r="I3" s="1001"/>
      <c r="J3" s="1001"/>
      <c r="K3" s="1001"/>
      <c r="L3" s="1001"/>
      <c r="M3" s="1001"/>
      <c r="N3" s="1001"/>
      <c r="O3" s="1001"/>
    </row>
    <row r="4" spans="1:15" ht="11.4" customHeight="1" x14ac:dyDescent="0.25">
      <c r="A4" s="1002" t="s">
        <v>63</v>
      </c>
      <c r="B4" s="1003"/>
      <c r="C4" s="1003"/>
      <c r="D4" s="1003"/>
      <c r="E4" s="1003"/>
      <c r="F4" s="1003"/>
      <c r="G4" s="1003"/>
      <c r="H4" s="1003"/>
      <c r="I4" s="1003"/>
      <c r="J4" s="1003"/>
      <c r="K4" s="1003"/>
      <c r="L4" s="1003"/>
      <c r="M4" s="1003"/>
      <c r="N4" s="1003"/>
      <c r="O4" s="1003"/>
    </row>
    <row r="5" spans="1:15" x14ac:dyDescent="0.25">
      <c r="A5" s="1007" t="s">
        <v>62</v>
      </c>
      <c r="B5" s="1008"/>
      <c r="C5" s="1008"/>
      <c r="E5" s="1007" t="s">
        <v>61</v>
      </c>
      <c r="F5" s="1008"/>
      <c r="G5" s="1008"/>
      <c r="I5" s="1008" t="s">
        <v>60</v>
      </c>
      <c r="J5" s="1008"/>
      <c r="K5" s="1008"/>
      <c r="M5" s="1007" t="s">
        <v>59</v>
      </c>
      <c r="N5" s="1008"/>
      <c r="O5" s="1008"/>
    </row>
    <row r="6" spans="1:15" ht="5.25" customHeight="1" x14ac:dyDescent="0.25">
      <c r="A6" s="1004"/>
      <c r="B6" s="1005"/>
      <c r="C6" s="1006"/>
      <c r="E6" s="1004"/>
      <c r="F6" s="1005"/>
      <c r="G6" s="1006"/>
      <c r="I6" s="1004"/>
      <c r="J6" s="1005"/>
      <c r="K6" s="1006"/>
      <c r="M6" s="1004"/>
      <c r="N6" s="1005"/>
      <c r="O6" s="1006"/>
    </row>
    <row r="7" spans="1:15" ht="20.100000000000001" customHeight="1" x14ac:dyDescent="0.25">
      <c r="A7" s="55" t="s">
        <v>58</v>
      </c>
      <c r="B7" s="38"/>
      <c r="C7" s="57">
        <f>B7/1000</f>
        <v>0</v>
      </c>
      <c r="E7" s="55" t="s">
        <v>58</v>
      </c>
      <c r="F7" s="38"/>
      <c r="G7" s="57">
        <f>F7/1000</f>
        <v>0</v>
      </c>
      <c r="I7" s="55" t="s">
        <v>58</v>
      </c>
      <c r="J7" s="38"/>
      <c r="K7" s="57">
        <f>J7/1000</f>
        <v>0</v>
      </c>
      <c r="M7" s="55" t="s">
        <v>58</v>
      </c>
      <c r="N7" s="38"/>
      <c r="O7" s="57">
        <f>N7/1000</f>
        <v>0</v>
      </c>
    </row>
    <row r="8" spans="1:15" ht="20.100000000000001" customHeight="1" x14ac:dyDescent="0.25">
      <c r="A8" s="55" t="s">
        <v>57</v>
      </c>
      <c r="B8" s="38"/>
      <c r="C8" s="57">
        <f>B8/1000</f>
        <v>0</v>
      </c>
      <c r="E8" s="55" t="s">
        <v>57</v>
      </c>
      <c r="F8" s="38"/>
      <c r="G8" s="57">
        <f>F8/1000</f>
        <v>0</v>
      </c>
      <c r="I8" s="55" t="s">
        <v>57</v>
      </c>
      <c r="J8" s="38"/>
      <c r="K8" s="57">
        <f>J8/1000</f>
        <v>0</v>
      </c>
      <c r="M8" s="55" t="s">
        <v>57</v>
      </c>
      <c r="N8" s="38"/>
      <c r="O8" s="57">
        <f>N8/1000</f>
        <v>0</v>
      </c>
    </row>
    <row r="9" spans="1:15" ht="20.100000000000001" customHeight="1" x14ac:dyDescent="0.25">
      <c r="A9" s="55" t="s">
        <v>56</v>
      </c>
      <c r="B9" s="38"/>
      <c r="C9" s="57">
        <f>B9/1000</f>
        <v>0</v>
      </c>
      <c r="E9" s="55" t="s">
        <v>56</v>
      </c>
      <c r="F9" s="38"/>
      <c r="G9" s="57">
        <f>F9/1000</f>
        <v>0</v>
      </c>
      <c r="I9" s="55" t="s">
        <v>56</v>
      </c>
      <c r="J9" s="38"/>
      <c r="K9" s="57">
        <f>J9/1000</f>
        <v>0</v>
      </c>
      <c r="M9" s="55" t="s">
        <v>56</v>
      </c>
      <c r="N9" s="38"/>
      <c r="O9" s="57">
        <f>N9/1000</f>
        <v>0</v>
      </c>
    </row>
    <row r="10" spans="1:15" ht="20.100000000000001" customHeight="1" x14ac:dyDescent="0.25">
      <c r="A10" s="55" t="s">
        <v>55</v>
      </c>
      <c r="B10" s="1009">
        <f>C7+(2*C8)</f>
        <v>0</v>
      </c>
      <c r="C10" s="1010"/>
      <c r="E10" s="55" t="s">
        <v>55</v>
      </c>
      <c r="F10" s="1009">
        <f>G7+(2*G8)</f>
        <v>0</v>
      </c>
      <c r="G10" s="1010"/>
      <c r="I10" s="55" t="s">
        <v>55</v>
      </c>
      <c r="J10" s="1009">
        <f>K7+(2*K8)</f>
        <v>0</v>
      </c>
      <c r="K10" s="1010"/>
      <c r="M10" s="55" t="s">
        <v>55</v>
      </c>
      <c r="N10" s="1009">
        <f>O7+(2*O8)</f>
        <v>0</v>
      </c>
      <c r="O10" s="1010"/>
    </row>
    <row r="11" spans="1:15" ht="20.100000000000001" customHeight="1" x14ac:dyDescent="0.25">
      <c r="A11" s="56" t="s">
        <v>54</v>
      </c>
      <c r="B11" s="1011"/>
      <c r="C11" s="1012"/>
      <c r="E11" s="56" t="s">
        <v>54</v>
      </c>
      <c r="F11" s="1011"/>
      <c r="G11" s="1012"/>
      <c r="I11" s="56" t="s">
        <v>54</v>
      </c>
      <c r="J11" s="1011"/>
      <c r="K11" s="1012"/>
      <c r="M11" s="56" t="s">
        <v>54</v>
      </c>
      <c r="N11" s="1011"/>
      <c r="O11" s="1012"/>
    </row>
    <row r="12" spans="1:15" ht="6" customHeight="1" x14ac:dyDescent="0.25">
      <c r="A12" s="1004"/>
      <c r="B12" s="1005"/>
      <c r="C12" s="1006"/>
      <c r="E12" s="1004"/>
      <c r="F12" s="1005"/>
      <c r="G12" s="1006"/>
      <c r="I12" s="1004"/>
      <c r="J12" s="1005"/>
      <c r="K12" s="1006"/>
      <c r="M12" s="1004"/>
      <c r="N12" s="1005"/>
      <c r="O12" s="1006"/>
    </row>
    <row r="13" spans="1:15" ht="14.4" x14ac:dyDescent="0.3">
      <c r="A13" s="55" t="s">
        <v>53</v>
      </c>
      <c r="B13" s="987">
        <f>((B10*PI()*C9))+B11</f>
        <v>0</v>
      </c>
      <c r="C13" s="987"/>
      <c r="E13" s="55" t="s">
        <v>53</v>
      </c>
      <c r="F13" s="987">
        <f>((F10*PI()*G9))+F11</f>
        <v>0</v>
      </c>
      <c r="G13" s="987"/>
      <c r="I13" s="55" t="s">
        <v>53</v>
      </c>
      <c r="J13" s="988">
        <f>((PI()/4)*((J10^2)+4*(K9^2)))</f>
        <v>0</v>
      </c>
      <c r="K13" s="989"/>
      <c r="M13" s="55" t="s">
        <v>53</v>
      </c>
      <c r="N13" s="987">
        <f>((N10*PI()*O9))+N11</f>
        <v>0</v>
      </c>
      <c r="O13" s="987"/>
    </row>
    <row r="14" spans="1:15" ht="14.4" x14ac:dyDescent="0.3">
      <c r="A14" s="43"/>
      <c r="B14" s="54"/>
      <c r="C14" s="54"/>
      <c r="E14" s="43"/>
      <c r="F14" s="54"/>
      <c r="G14" s="54"/>
      <c r="I14" s="43"/>
      <c r="J14" s="54"/>
      <c r="K14" s="54"/>
    </row>
    <row r="15" spans="1:15" ht="15.6" x14ac:dyDescent="0.3">
      <c r="A15" s="46"/>
      <c r="B15" s="990"/>
      <c r="C15" s="990"/>
      <c r="E15" s="991" t="s">
        <v>52</v>
      </c>
      <c r="F15" s="992"/>
      <c r="G15" s="992"/>
      <c r="H15" s="992"/>
      <c r="I15" s="993"/>
      <c r="J15" s="994">
        <f>B13+F13</f>
        <v>0</v>
      </c>
      <c r="K15" s="994"/>
    </row>
    <row r="16" spans="1:15" ht="15.6" x14ac:dyDescent="0.3">
      <c r="A16" s="43"/>
      <c r="B16" s="53"/>
      <c r="E16" s="991" t="s">
        <v>51</v>
      </c>
      <c r="F16" s="992"/>
      <c r="G16" s="992"/>
      <c r="H16" s="992"/>
      <c r="I16" s="993"/>
      <c r="J16" s="994">
        <f>J13</f>
        <v>0</v>
      </c>
      <c r="K16" s="994"/>
    </row>
    <row r="17" spans="1:11" x14ac:dyDescent="0.25">
      <c r="A17" s="43"/>
      <c r="B17" s="53"/>
    </row>
    <row r="19" spans="1:11" ht="18.75" customHeight="1" x14ac:dyDescent="0.25">
      <c r="A19" s="995" t="s">
        <v>50</v>
      </c>
      <c r="B19" s="996"/>
      <c r="C19" s="996"/>
      <c r="D19" s="996"/>
      <c r="E19" s="996"/>
      <c r="F19" s="996"/>
      <c r="G19" s="996"/>
      <c r="H19" s="996"/>
      <c r="I19" s="996"/>
      <c r="J19" s="996"/>
      <c r="K19" s="997"/>
    </row>
    <row r="20" spans="1:11" s="46" customFormat="1" ht="18.75" customHeight="1" x14ac:dyDescent="0.25">
      <c r="A20" s="52" t="s">
        <v>49</v>
      </c>
      <c r="B20" s="51" t="s">
        <v>48</v>
      </c>
      <c r="C20" s="986" t="s">
        <v>47</v>
      </c>
      <c r="D20" s="986"/>
      <c r="E20" s="49"/>
      <c r="F20" s="50"/>
      <c r="G20" s="50"/>
      <c r="H20" s="49"/>
      <c r="I20" s="49"/>
      <c r="J20" s="48" t="s">
        <v>46</v>
      </c>
      <c r="K20" s="47"/>
    </row>
    <row r="21" spans="1:11" ht="18.75" customHeight="1" x14ac:dyDescent="0.25">
      <c r="A21" s="45"/>
      <c r="B21" s="41"/>
      <c r="C21" s="975">
        <f>IFERROR(VLOOKUP(B21,PID!A5:B247,2,0),0)</f>
        <v>0</v>
      </c>
      <c r="D21" s="976"/>
      <c r="E21" s="41" t="s">
        <v>45</v>
      </c>
      <c r="F21" s="977"/>
      <c r="G21" s="978"/>
      <c r="H21" s="985" t="s">
        <v>44</v>
      </c>
      <c r="I21" s="985"/>
      <c r="J21" s="37">
        <f t="shared" ref="J21:J36" si="0">C21*F21</f>
        <v>0</v>
      </c>
      <c r="K21" s="44"/>
    </row>
    <row r="22" spans="1:11" ht="18.75" customHeight="1" x14ac:dyDescent="0.25">
      <c r="A22" s="45"/>
      <c r="B22" s="41"/>
      <c r="C22" s="975">
        <f>IFERROR(VLOOKUP(B22,PID!A6:B248,2,0),0)</f>
        <v>0</v>
      </c>
      <c r="D22" s="976"/>
      <c r="E22" s="41" t="s">
        <v>45</v>
      </c>
      <c r="F22" s="977"/>
      <c r="G22" s="978"/>
      <c r="H22" s="985" t="s">
        <v>44</v>
      </c>
      <c r="I22" s="985"/>
      <c r="J22" s="37">
        <f t="shared" si="0"/>
        <v>0</v>
      </c>
      <c r="K22" s="44"/>
    </row>
    <row r="23" spans="1:11" ht="18.75" customHeight="1" x14ac:dyDescent="0.25">
      <c r="A23" s="45"/>
      <c r="B23" s="41"/>
      <c r="C23" s="975">
        <f>IFERROR(VLOOKUP(B23,PID!A7:B249,2,0),0)</f>
        <v>0</v>
      </c>
      <c r="D23" s="976"/>
      <c r="E23" s="41" t="s">
        <v>45</v>
      </c>
      <c r="F23" s="977"/>
      <c r="G23" s="978"/>
      <c r="H23" s="985" t="s">
        <v>44</v>
      </c>
      <c r="I23" s="985"/>
      <c r="J23" s="37">
        <f t="shared" si="0"/>
        <v>0</v>
      </c>
      <c r="K23" s="44"/>
    </row>
    <row r="24" spans="1:11" s="43" customFormat="1" ht="15.75" customHeight="1" x14ac:dyDescent="0.25">
      <c r="A24" s="45"/>
      <c r="B24" s="41"/>
      <c r="C24" s="975">
        <f>IFERROR(VLOOKUP(B24,PID!A8:B250,2,0),0)</f>
        <v>0</v>
      </c>
      <c r="D24" s="976"/>
      <c r="E24" s="41" t="s">
        <v>45</v>
      </c>
      <c r="F24" s="977"/>
      <c r="G24" s="978"/>
      <c r="H24" s="985" t="s">
        <v>44</v>
      </c>
      <c r="I24" s="985"/>
      <c r="J24" s="37">
        <f t="shared" si="0"/>
        <v>0</v>
      </c>
      <c r="K24" s="44"/>
    </row>
    <row r="25" spans="1:11" x14ac:dyDescent="0.25">
      <c r="A25" s="42"/>
      <c r="B25" s="41"/>
      <c r="C25" s="975">
        <f>IFERROR(VLOOKUP(B25,PID!A9:B251,2,0),0)</f>
        <v>0</v>
      </c>
      <c r="D25" s="976"/>
      <c r="E25" s="41" t="s">
        <v>45</v>
      </c>
      <c r="F25" s="977"/>
      <c r="G25" s="978"/>
      <c r="H25" s="979" t="s">
        <v>44</v>
      </c>
      <c r="I25" s="979"/>
      <c r="J25" s="37">
        <f t="shared" si="0"/>
        <v>0</v>
      </c>
      <c r="K25" s="36"/>
    </row>
    <row r="26" spans="1:11" x14ac:dyDescent="0.25">
      <c r="A26" s="42"/>
      <c r="B26" s="41"/>
      <c r="C26" s="975">
        <f>IFERROR(VLOOKUP(B26,PID!A10:B252,2,0),0)</f>
        <v>0</v>
      </c>
      <c r="D26" s="976"/>
      <c r="E26" s="41" t="s">
        <v>45</v>
      </c>
      <c r="F26" s="977"/>
      <c r="G26" s="978"/>
      <c r="H26" s="979" t="s">
        <v>44</v>
      </c>
      <c r="I26" s="979"/>
      <c r="J26" s="37">
        <f t="shared" si="0"/>
        <v>0</v>
      </c>
      <c r="K26" s="36"/>
    </row>
    <row r="27" spans="1:11" x14ac:dyDescent="0.25">
      <c r="A27" s="42"/>
      <c r="B27" s="41"/>
      <c r="C27" s="975">
        <f>IFERROR(VLOOKUP(B27,PID!A11:B253,2,0),0)</f>
        <v>0</v>
      </c>
      <c r="D27" s="976"/>
      <c r="E27" s="41" t="s">
        <v>45</v>
      </c>
      <c r="F27" s="977"/>
      <c r="G27" s="978"/>
      <c r="H27" s="979" t="s">
        <v>44</v>
      </c>
      <c r="I27" s="979"/>
      <c r="J27" s="37">
        <f t="shared" si="0"/>
        <v>0</v>
      </c>
      <c r="K27" s="36"/>
    </row>
    <row r="28" spans="1:11" x14ac:dyDescent="0.25">
      <c r="A28" s="42"/>
      <c r="B28" s="41"/>
      <c r="C28" s="975">
        <f>IFERROR(VLOOKUP(B28,PID!A12:B254,2,0),0)</f>
        <v>0</v>
      </c>
      <c r="D28" s="976"/>
      <c r="E28" s="41" t="s">
        <v>45</v>
      </c>
      <c r="F28" s="977"/>
      <c r="G28" s="978"/>
      <c r="H28" s="979" t="s">
        <v>44</v>
      </c>
      <c r="I28" s="979"/>
      <c r="J28" s="37">
        <f t="shared" si="0"/>
        <v>0</v>
      </c>
      <c r="K28" s="36"/>
    </row>
    <row r="29" spans="1:11" x14ac:dyDescent="0.25">
      <c r="A29" s="42"/>
      <c r="B29" s="41"/>
      <c r="C29" s="975">
        <f>IFERROR(VLOOKUP(B29,PID!A13:B255,2,0),0)</f>
        <v>0</v>
      </c>
      <c r="D29" s="976"/>
      <c r="E29" s="41" t="s">
        <v>45</v>
      </c>
      <c r="F29" s="40"/>
      <c r="G29" s="39"/>
      <c r="H29" s="979" t="s">
        <v>44</v>
      </c>
      <c r="I29" s="979"/>
      <c r="J29" s="37">
        <f t="shared" si="0"/>
        <v>0</v>
      </c>
      <c r="K29" s="36"/>
    </row>
    <row r="30" spans="1:11" x14ac:dyDescent="0.25">
      <c r="A30" s="42"/>
      <c r="B30" s="41"/>
      <c r="C30" s="975">
        <f>IFERROR(VLOOKUP(B30,PID!A14:B256,2,0),0)</f>
        <v>0</v>
      </c>
      <c r="D30" s="976"/>
      <c r="E30" s="41" t="s">
        <v>45</v>
      </c>
      <c r="F30" s="40"/>
      <c r="G30" s="39"/>
      <c r="H30" s="979" t="s">
        <v>44</v>
      </c>
      <c r="I30" s="979"/>
      <c r="J30" s="37">
        <f t="shared" si="0"/>
        <v>0</v>
      </c>
      <c r="K30" s="36"/>
    </row>
    <row r="31" spans="1:11" x14ac:dyDescent="0.25">
      <c r="A31" s="42"/>
      <c r="B31" s="41"/>
      <c r="C31" s="975">
        <f>IFERROR(VLOOKUP(B31,PID!A15:B257,2,0),0)</f>
        <v>0</v>
      </c>
      <c r="D31" s="976"/>
      <c r="E31" s="41" t="s">
        <v>45</v>
      </c>
      <c r="F31" s="40"/>
      <c r="G31" s="39"/>
      <c r="H31" s="979" t="s">
        <v>44</v>
      </c>
      <c r="I31" s="979"/>
      <c r="J31" s="37">
        <f t="shared" si="0"/>
        <v>0</v>
      </c>
      <c r="K31" s="36"/>
    </row>
    <row r="32" spans="1:11" x14ac:dyDescent="0.25">
      <c r="A32" s="42"/>
      <c r="B32" s="41"/>
      <c r="C32" s="975">
        <f>IFERROR(VLOOKUP(B32,PID!A16:B258,2,0),0)</f>
        <v>0</v>
      </c>
      <c r="D32" s="976"/>
      <c r="E32" s="41" t="s">
        <v>45</v>
      </c>
      <c r="F32" s="40"/>
      <c r="G32" s="39"/>
      <c r="H32" s="979" t="s">
        <v>44</v>
      </c>
      <c r="I32" s="979"/>
      <c r="J32" s="37">
        <f t="shared" si="0"/>
        <v>0</v>
      </c>
      <c r="K32" s="36"/>
    </row>
    <row r="33" spans="1:11" x14ac:dyDescent="0.25">
      <c r="A33" s="42"/>
      <c r="B33" s="41"/>
      <c r="C33" s="975">
        <f>IFERROR(VLOOKUP(B33,PID!A17:B259,2,0),0)</f>
        <v>0</v>
      </c>
      <c r="D33" s="976"/>
      <c r="E33" s="41" t="s">
        <v>45</v>
      </c>
      <c r="F33" s="40"/>
      <c r="G33" s="39"/>
      <c r="H33" s="979" t="s">
        <v>44</v>
      </c>
      <c r="I33" s="979"/>
      <c r="J33" s="37">
        <f t="shared" si="0"/>
        <v>0</v>
      </c>
      <c r="K33" s="36"/>
    </row>
    <row r="34" spans="1:11" x14ac:dyDescent="0.25">
      <c r="A34" s="42"/>
      <c r="B34" s="41"/>
      <c r="C34" s="975">
        <f>IFERROR(VLOOKUP(B34,PID!A18:B260,2,0),0)</f>
        <v>0</v>
      </c>
      <c r="D34" s="976"/>
      <c r="E34" s="41" t="s">
        <v>45</v>
      </c>
      <c r="F34" s="40"/>
      <c r="G34" s="39"/>
      <c r="H34" s="979" t="s">
        <v>44</v>
      </c>
      <c r="I34" s="979"/>
      <c r="J34" s="37">
        <f t="shared" si="0"/>
        <v>0</v>
      </c>
      <c r="K34" s="36"/>
    </row>
    <row r="35" spans="1:11" x14ac:dyDescent="0.25">
      <c r="A35" s="42"/>
      <c r="B35" s="41"/>
      <c r="C35" s="975">
        <f>IFERROR(VLOOKUP(B35,PID!A19:B261,2,0),0)</f>
        <v>0</v>
      </c>
      <c r="D35" s="976"/>
      <c r="E35" s="41" t="s">
        <v>45</v>
      </c>
      <c r="F35" s="40"/>
      <c r="G35" s="39"/>
      <c r="H35" s="979" t="s">
        <v>44</v>
      </c>
      <c r="I35" s="979"/>
      <c r="J35" s="37">
        <f t="shared" si="0"/>
        <v>0</v>
      </c>
      <c r="K35" s="36"/>
    </row>
    <row r="36" spans="1:11" x14ac:dyDescent="0.25">
      <c r="A36" s="42"/>
      <c r="B36" s="41"/>
      <c r="C36" s="975">
        <f>IFERROR(VLOOKUP(B36,PID!A20:B262,2,0),0)</f>
        <v>0</v>
      </c>
      <c r="D36" s="976"/>
      <c r="E36" s="41" t="s">
        <v>45</v>
      </c>
      <c r="F36" s="977"/>
      <c r="G36" s="978"/>
      <c r="H36" s="979" t="s">
        <v>44</v>
      </c>
      <c r="I36" s="979"/>
      <c r="J36" s="37">
        <f t="shared" si="0"/>
        <v>0</v>
      </c>
      <c r="K36" s="36"/>
    </row>
    <row r="37" spans="1:11" ht="23.25" customHeight="1" x14ac:dyDescent="0.3">
      <c r="A37" s="980" t="s">
        <v>43</v>
      </c>
      <c r="B37" s="980"/>
      <c r="C37" s="980"/>
      <c r="D37" s="980"/>
      <c r="E37" s="980"/>
      <c r="F37" s="980"/>
      <c r="G37" s="980"/>
      <c r="H37" s="980"/>
      <c r="I37" s="981"/>
      <c r="J37" s="982">
        <f>SUM(J21:J36)+N13</f>
        <v>0</v>
      </c>
      <c r="K37" s="983"/>
    </row>
    <row r="38" spans="1:11" ht="19.5" customHeight="1" x14ac:dyDescent="0.25">
      <c r="A38" s="984" t="s">
        <v>42</v>
      </c>
      <c r="B38" s="984"/>
      <c r="C38" s="984"/>
      <c r="D38" s="984"/>
      <c r="E38" s="984"/>
      <c r="F38" s="984"/>
      <c r="G38" s="984"/>
      <c r="H38" s="984"/>
      <c r="I38" s="984"/>
      <c r="J38" s="984"/>
      <c r="K38" s="984"/>
    </row>
    <row r="39" spans="1:11" x14ac:dyDescent="0.25">
      <c r="A39" s="972" t="s">
        <v>41</v>
      </c>
      <c r="B39" s="972"/>
      <c r="C39" s="972"/>
      <c r="D39" s="972"/>
      <c r="E39" s="972"/>
      <c r="F39" s="972"/>
      <c r="G39" s="972"/>
      <c r="H39" s="972"/>
      <c r="I39" s="973">
        <f>J15+J16+J37</f>
        <v>0</v>
      </c>
      <c r="J39" s="973"/>
      <c r="K39" s="973"/>
    </row>
    <row r="40" spans="1:11" x14ac:dyDescent="0.25">
      <c r="A40" s="972" t="s">
        <v>40</v>
      </c>
      <c r="B40" s="972"/>
      <c r="C40" s="972"/>
      <c r="D40" s="972"/>
      <c r="E40" s="972"/>
      <c r="F40" s="972"/>
      <c r="G40" s="972"/>
      <c r="H40" s="972"/>
      <c r="I40" s="973">
        <v>96</v>
      </c>
      <c r="J40" s="973"/>
      <c r="K40" s="973"/>
    </row>
    <row r="41" spans="1:11" x14ac:dyDescent="0.25">
      <c r="A41" s="972" t="s">
        <v>39</v>
      </c>
      <c r="B41" s="972"/>
      <c r="C41" s="972"/>
      <c r="D41" s="972"/>
      <c r="E41" s="972"/>
      <c r="F41" s="972"/>
      <c r="G41" s="972"/>
      <c r="H41" s="972"/>
      <c r="I41" s="973">
        <f>I39*0.063</f>
        <v>0</v>
      </c>
      <c r="J41" s="973"/>
      <c r="K41" s="973"/>
    </row>
    <row r="42" spans="1:11" x14ac:dyDescent="0.25">
      <c r="A42" s="972" t="s">
        <v>38</v>
      </c>
      <c r="B42" s="972"/>
      <c r="C42" s="972"/>
      <c r="D42" s="972"/>
      <c r="E42" s="972"/>
      <c r="F42" s="972"/>
      <c r="G42" s="972"/>
      <c r="H42" s="972"/>
      <c r="I42" s="974">
        <f>I40*I41</f>
        <v>0</v>
      </c>
      <c r="J42" s="974"/>
      <c r="K42" s="974"/>
    </row>
    <row r="43" spans="1:11" x14ac:dyDescent="0.25">
      <c r="A43" s="972" t="s">
        <v>37</v>
      </c>
      <c r="B43" s="972"/>
      <c r="C43" s="972"/>
      <c r="D43" s="972"/>
      <c r="E43" s="972"/>
      <c r="F43" s="972"/>
      <c r="G43" s="972"/>
      <c r="H43" s="972"/>
      <c r="I43" s="974">
        <f>I39*4</f>
        <v>0</v>
      </c>
      <c r="J43" s="974"/>
      <c r="K43" s="974"/>
    </row>
    <row r="44" spans="1:11" x14ac:dyDescent="0.25">
      <c r="I44" s="971"/>
      <c r="J44" s="971"/>
    </row>
    <row r="45" spans="1:11" x14ac:dyDescent="0.25">
      <c r="I45" s="971"/>
      <c r="J45" s="971"/>
    </row>
  </sheetData>
  <mergeCells count="90">
    <mergeCell ref="N10:O10"/>
    <mergeCell ref="M12:O12"/>
    <mergeCell ref="N13:O13"/>
    <mergeCell ref="F11:G11"/>
    <mergeCell ref="B10:C10"/>
    <mergeCell ref="F10:G10"/>
    <mergeCell ref="J11:K11"/>
    <mergeCell ref="N11:O11"/>
    <mergeCell ref="J10:K10"/>
    <mergeCell ref="B11:C11"/>
    <mergeCell ref="A12:C12"/>
    <mergeCell ref="E12:G12"/>
    <mergeCell ref="I12:K12"/>
    <mergeCell ref="C35:D35"/>
    <mergeCell ref="H29:I29"/>
    <mergeCell ref="H30:I30"/>
    <mergeCell ref="H31:I31"/>
    <mergeCell ref="H32:I32"/>
    <mergeCell ref="H33:I33"/>
    <mergeCell ref="C29:D29"/>
    <mergeCell ref="C30:D30"/>
    <mergeCell ref="H34:I34"/>
    <mergeCell ref="H35:I35"/>
    <mergeCell ref="C31:D31"/>
    <mergeCell ref="C32:D32"/>
    <mergeCell ref="C33:D33"/>
    <mergeCell ref="C34:D34"/>
    <mergeCell ref="A1:O1"/>
    <mergeCell ref="A2:O3"/>
    <mergeCell ref="A4:O4"/>
    <mergeCell ref="A6:C6"/>
    <mergeCell ref="E6:G6"/>
    <mergeCell ref="I6:K6"/>
    <mergeCell ref="A5:C5"/>
    <mergeCell ref="E5:G5"/>
    <mergeCell ref="M5:O5"/>
    <mergeCell ref="M6:O6"/>
    <mergeCell ref="I5:K5"/>
    <mergeCell ref="C20:D20"/>
    <mergeCell ref="B13:C13"/>
    <mergeCell ref="F13:G13"/>
    <mergeCell ref="J13:K13"/>
    <mergeCell ref="B15:C15"/>
    <mergeCell ref="E15:I15"/>
    <mergeCell ref="J15:K15"/>
    <mergeCell ref="A19:K19"/>
    <mergeCell ref="E16:I16"/>
    <mergeCell ref="J16:K16"/>
    <mergeCell ref="F21:G21"/>
    <mergeCell ref="H21:I21"/>
    <mergeCell ref="C22:D22"/>
    <mergeCell ref="F22:G22"/>
    <mergeCell ref="H22:I22"/>
    <mergeCell ref="C21:D21"/>
    <mergeCell ref="C23:D23"/>
    <mergeCell ref="F23:G23"/>
    <mergeCell ref="H23:I23"/>
    <mergeCell ref="C24:D24"/>
    <mergeCell ref="F24:G24"/>
    <mergeCell ref="H24:I24"/>
    <mergeCell ref="C25:D25"/>
    <mergeCell ref="F25:G25"/>
    <mergeCell ref="H25:I25"/>
    <mergeCell ref="C26:D26"/>
    <mergeCell ref="F26:G26"/>
    <mergeCell ref="H26:I26"/>
    <mergeCell ref="F27:G27"/>
    <mergeCell ref="H27:I27"/>
    <mergeCell ref="C28:D28"/>
    <mergeCell ref="F28:G28"/>
    <mergeCell ref="H28:I28"/>
    <mergeCell ref="C27:D27"/>
    <mergeCell ref="A40:H40"/>
    <mergeCell ref="I40:K40"/>
    <mergeCell ref="C36:D36"/>
    <mergeCell ref="F36:G36"/>
    <mergeCell ref="H36:I36"/>
    <mergeCell ref="A37:I37"/>
    <mergeCell ref="J37:K37"/>
    <mergeCell ref="A38:K38"/>
    <mergeCell ref="A39:H39"/>
    <mergeCell ref="I39:K39"/>
    <mergeCell ref="I44:J44"/>
    <mergeCell ref="I45:J45"/>
    <mergeCell ref="A41:H41"/>
    <mergeCell ref="I41:K41"/>
    <mergeCell ref="A42:H42"/>
    <mergeCell ref="I42:K42"/>
    <mergeCell ref="A43:H43"/>
    <mergeCell ref="I43:K43"/>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22</vt:i4>
      </vt:variant>
      <vt:variant>
        <vt:lpstr>Intervalos Nomeados</vt:lpstr>
      </vt:variant>
      <vt:variant>
        <vt:i4>19</vt:i4>
      </vt:variant>
    </vt:vector>
  </HeadingPairs>
  <TitlesOfParts>
    <vt:vector size="41" baseType="lpstr">
      <vt:lpstr>RESUMO_CAPA  </vt:lpstr>
      <vt:lpstr>AS</vt:lpstr>
      <vt:lpstr>INFO</vt:lpstr>
      <vt:lpstr>FOTOS</vt:lpstr>
      <vt:lpstr>LINHAS anterior</vt:lpstr>
      <vt:lpstr>RESUMO</vt:lpstr>
      <vt:lpstr>EQUIPAMENTOS </vt:lpstr>
      <vt:lpstr>CURVA</vt:lpstr>
      <vt:lpstr>MEM. xxxx</vt:lpstr>
      <vt:lpstr>TUB. PU</vt:lpstr>
      <vt:lpstr>PID</vt:lpstr>
      <vt:lpstr>base dados</vt:lpstr>
      <vt:lpstr>HISTOGRAMA</vt:lpstr>
      <vt:lpstr>PREÇOS MERCADO</vt:lpstr>
      <vt:lpstr>TOTAL SERVIÇO + MATERIAL</vt:lpstr>
      <vt:lpstr>tabela isol quente</vt:lpstr>
      <vt:lpstr>tabela isol frio</vt:lpstr>
      <vt:lpstr>esp</vt:lpstr>
      <vt:lpstr>LINHAS - LEVANTAMENTO</vt:lpstr>
      <vt:lpstr>Cálc economia (cheio)</vt:lpstr>
      <vt:lpstr>Cálc economia (25%)</vt:lpstr>
      <vt:lpstr>calc. perda energ</vt:lpstr>
      <vt:lpstr>AS!Area_de_impressao</vt:lpstr>
      <vt:lpstr>CURVA!Area_de_impressao</vt:lpstr>
      <vt:lpstr>'EQUIPAMENTOS '!Area_de_impressao</vt:lpstr>
      <vt:lpstr>FOTOS!Area_de_impressao</vt:lpstr>
      <vt:lpstr>HISTOGRAMA!Area_de_impressao</vt:lpstr>
      <vt:lpstr>'LINHAS - LEVANTAMENTO'!Area_de_impressao</vt:lpstr>
      <vt:lpstr>'LINHAS anterior'!Area_de_impressao</vt:lpstr>
      <vt:lpstr>RESUMO!Area_de_impressao</vt:lpstr>
      <vt:lpstr>'RESUMO_CAPA  '!Area_de_impressao</vt:lpstr>
      <vt:lpstr>'TOTAL SERVIÇO + MATERIAL'!Area_de_impressao</vt:lpstr>
      <vt:lpstr>'TUB. PU'!Area_de_impressao</vt:lpstr>
      <vt:lpstr>'LINHAS - LEVANTAMENTO'!Excel_BuiltIn__FilterDatabase</vt:lpstr>
      <vt:lpstr>'LINHAS anterior'!Excel_BuiltIn__FilterDatabase</vt:lpstr>
      <vt:lpstr>'TUB. PU'!Excel_BuiltIn__FilterDatabase</vt:lpstr>
      <vt:lpstr>'EQUIPAMENTOS '!Excel_BuiltIn_Print_Area</vt:lpstr>
      <vt:lpstr>'LINHAS - LEVANTAMENTO'!Excel_BuiltIn_Print_Area</vt:lpstr>
      <vt:lpstr>'LINHAS anterior'!Excel_BuiltIn_Print_Area</vt:lpstr>
      <vt:lpstr>'TUB. PU'!Excel_BuiltIn_Print_Area</vt:lpstr>
      <vt:lpstr>'TUB. PU'!Titulos_de_impressao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zenonbrito@hotmail.com</dc:creator>
  <cp:lastModifiedBy>Zenon Brito</cp:lastModifiedBy>
  <cp:lastPrinted>2024-11-08T17:56:24Z</cp:lastPrinted>
  <dcterms:created xsi:type="dcterms:W3CDTF">2023-05-18T12:04:20Z</dcterms:created>
  <dcterms:modified xsi:type="dcterms:W3CDTF">2024-12-10T21:06:10Z</dcterms:modified>
</cp:coreProperties>
</file>