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oterm Wilian\Desktop\ACELEN\PROPOSTA CALDEIRA\"/>
    </mc:Choice>
  </mc:AlternateContent>
  <xr:revisionPtr revIDLastSave="0" documentId="13_ncr:1_{B0BBDB03-656E-4E69-93DE-C5383BD2E7C4}" xr6:coauthVersionLast="46" xr6:coauthVersionMax="46" xr10:uidLastSave="{00000000-0000-0000-0000-000000000000}"/>
  <bookViews>
    <workbookView xWindow="28680" yWindow="-120" windowWidth="20730" windowHeight="11040" activeTab="3" xr2:uid="{BC687A0B-DF48-4196-8078-5E625932A94B}"/>
  </bookViews>
  <sheets>
    <sheet name="MEM. CALC - ISOL" sheetId="1" r:id="rId1"/>
    <sheet name="ISOLAMENTO EQUIP. " sheetId="3" r:id="rId2"/>
    <sheet name="ISOLAMENTO TUB" sheetId="4" r:id="rId3"/>
    <sheet name="REFRATÁRIO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I3" i="4"/>
  <c r="J3" i="4"/>
  <c r="G3" i="4"/>
  <c r="B27" i="3"/>
  <c r="B25" i="3"/>
  <c r="AM2" i="3"/>
  <c r="AM3" i="3"/>
  <c r="N6" i="3"/>
  <c r="N7" i="3"/>
  <c r="N8" i="3"/>
  <c r="N9" i="3"/>
  <c r="N10" i="3"/>
  <c r="N11" i="3"/>
  <c r="O11" i="3" s="1"/>
  <c r="N12" i="3"/>
  <c r="O12" i="3" s="1"/>
  <c r="N13" i="3"/>
  <c r="N14" i="3"/>
  <c r="N15" i="3"/>
  <c r="N5" i="3"/>
  <c r="M6" i="3"/>
  <c r="M7" i="3"/>
  <c r="M8" i="3"/>
  <c r="M9" i="3"/>
  <c r="O9" i="3" s="1"/>
  <c r="M10" i="3"/>
  <c r="O10" i="3" s="1"/>
  <c r="M11" i="3"/>
  <c r="M12" i="3"/>
  <c r="M13" i="3"/>
  <c r="M14" i="3"/>
  <c r="M15" i="3"/>
  <c r="M5" i="3"/>
  <c r="O15" i="3"/>
  <c r="O14" i="3"/>
  <c r="O8" i="3"/>
  <c r="O7" i="3"/>
  <c r="O6" i="3"/>
  <c r="O5" i="3"/>
  <c r="W13" i="2"/>
  <c r="W9" i="2"/>
  <c r="V13" i="2"/>
  <c r="V9" i="2"/>
  <c r="B21" i="2"/>
  <c r="I12" i="2"/>
  <c r="U26" i="2"/>
  <c r="R17" i="2"/>
  <c r="T17" i="2" s="1"/>
  <c r="R16" i="2"/>
  <c r="T16" i="2" s="1"/>
  <c r="R15" i="2"/>
  <c r="T15" i="2" s="1"/>
  <c r="T14" i="2"/>
  <c r="T13" i="2"/>
  <c r="R13" i="2"/>
  <c r="R12" i="2"/>
  <c r="T12" i="2" s="1"/>
  <c r="T11" i="2"/>
  <c r="R11" i="2"/>
  <c r="R9" i="2"/>
  <c r="T9" i="2" s="1"/>
  <c r="R8" i="2"/>
  <c r="R10" i="2" s="1"/>
  <c r="T10" i="2" s="1"/>
  <c r="R7" i="2"/>
  <c r="T7" i="2" s="1"/>
  <c r="R6" i="2"/>
  <c r="T6" i="2" s="1"/>
  <c r="R5" i="2"/>
  <c r="T5" i="2" s="1"/>
  <c r="R4" i="2"/>
  <c r="T4" i="2" s="1"/>
  <c r="T3" i="2"/>
  <c r="AB16" i="2"/>
  <c r="I5" i="2"/>
  <c r="I17" i="2"/>
  <c r="I15" i="2"/>
  <c r="I14" i="2"/>
  <c r="I11" i="2"/>
  <c r="I13" i="2"/>
  <c r="I9" i="2"/>
  <c r="W11" i="2"/>
  <c r="W14" i="2"/>
  <c r="W15" i="2"/>
  <c r="W17" i="2"/>
  <c r="W10" i="2"/>
  <c r="W8" i="2"/>
  <c r="W7" i="2"/>
  <c r="W6" i="2"/>
  <c r="W4" i="2"/>
  <c r="W3" i="2"/>
  <c r="W5" i="2"/>
  <c r="N6" i="4"/>
  <c r="N7" i="4"/>
  <c r="N8" i="4"/>
  <c r="N9" i="4"/>
  <c r="N10" i="4"/>
  <c r="N5" i="4"/>
  <c r="O13" i="3" l="1"/>
  <c r="O16" i="3" s="1"/>
  <c r="M16" i="3"/>
  <c r="T8" i="2"/>
  <c r="R18" i="2"/>
  <c r="AY3" i="4"/>
  <c r="AU3" i="4"/>
  <c r="AV3" i="4" s="1"/>
  <c r="AS3" i="4"/>
  <c r="AP3" i="4"/>
  <c r="AM3" i="4"/>
  <c r="AJ3" i="4"/>
  <c r="AY2" i="4"/>
  <c r="AU2" i="4"/>
  <c r="AV2" i="4" s="1"/>
  <c r="AS2" i="4"/>
  <c r="AP2" i="4"/>
  <c r="AM2" i="4"/>
  <c r="AJ2" i="4"/>
  <c r="AK3" i="3"/>
  <c r="AG3" i="3"/>
  <c r="AH3" i="3" s="1"/>
  <c r="AE3" i="3"/>
  <c r="AB3" i="3"/>
  <c r="Y3" i="3"/>
  <c r="V3" i="3"/>
  <c r="AB2" i="3"/>
  <c r="AK2" i="3"/>
  <c r="AE2" i="3"/>
  <c r="Y2" i="3"/>
  <c r="T18" i="2" l="1"/>
  <c r="AZ3" i="4"/>
  <c r="BB3" i="4" s="1"/>
  <c r="AZ2" i="4"/>
  <c r="AL3" i="3"/>
  <c r="AN3" i="3" s="1"/>
  <c r="AP3" i="3"/>
  <c r="AR3" i="3" s="1"/>
  <c r="BA3" i="4" l="1"/>
  <c r="BD3" i="4" s="1"/>
  <c r="BF3" i="4" s="1"/>
  <c r="BB2" i="4"/>
  <c r="BA2" i="4"/>
  <c r="BD2" i="4" s="1"/>
  <c r="BF2" i="4" s="1"/>
  <c r="AG2" i="3"/>
  <c r="AH2" i="3" s="1"/>
  <c r="V2" i="3"/>
  <c r="AL2" i="3" l="1"/>
  <c r="AN2" i="3" s="1"/>
  <c r="AP2" i="3" l="1"/>
  <c r="AR2" i="3" s="1"/>
  <c r="P14" i="3" l="1"/>
  <c r="R14" i="3" s="1"/>
  <c r="P11" i="3"/>
  <c r="P12" i="3"/>
  <c r="P13" i="3"/>
  <c r="C4" i="2"/>
  <c r="E4" i="2" s="1"/>
  <c r="G4" i="2" s="1"/>
  <c r="V4" i="2" s="1"/>
  <c r="AA4" i="2" s="1"/>
  <c r="C15" i="3"/>
  <c r="E15" i="3" s="1"/>
  <c r="P15" i="3" s="1"/>
  <c r="R15" i="3" s="1"/>
  <c r="G6" i="3"/>
  <c r="G7" i="3"/>
  <c r="G8" i="3"/>
  <c r="G9" i="3"/>
  <c r="Q9" i="3" s="1"/>
  <c r="G10" i="3"/>
  <c r="G11" i="3"/>
  <c r="G12" i="3"/>
  <c r="G13" i="3"/>
  <c r="G14" i="3"/>
  <c r="Q14" i="3" s="1"/>
  <c r="G15" i="3"/>
  <c r="Q15" i="3" s="1"/>
  <c r="G5" i="3"/>
  <c r="I10" i="2"/>
  <c r="I8" i="2"/>
  <c r="I7" i="2"/>
  <c r="I6" i="2"/>
  <c r="I4" i="2"/>
  <c r="I3" i="2"/>
  <c r="C16" i="2"/>
  <c r="E16" i="2" s="1"/>
  <c r="V16" i="2" s="1"/>
  <c r="O7" i="1"/>
  <c r="O5" i="1"/>
  <c r="O3" i="1"/>
  <c r="F26" i="2"/>
  <c r="C17" i="2"/>
  <c r="E17" i="2" s="1"/>
  <c r="G17" i="2" s="1"/>
  <c r="C9" i="2"/>
  <c r="C14" i="1"/>
  <c r="C15" i="1" s="1"/>
  <c r="E14" i="2" s="1"/>
  <c r="G14" i="2" s="1"/>
  <c r="AB14" i="2" s="1"/>
  <c r="C13" i="1"/>
  <c r="C15" i="2"/>
  <c r="E15" i="2" s="1"/>
  <c r="C7" i="1"/>
  <c r="C13" i="2"/>
  <c r="C12" i="2"/>
  <c r="E12" i="2" s="1"/>
  <c r="G12" i="2" s="1"/>
  <c r="V12" i="2" s="1"/>
  <c r="AA12" i="2" s="1"/>
  <c r="C11" i="2"/>
  <c r="E11" i="2" s="1"/>
  <c r="G11" i="2" s="1"/>
  <c r="C5" i="2"/>
  <c r="E5" i="2" s="1"/>
  <c r="G5" i="2" s="1"/>
  <c r="E3" i="2"/>
  <c r="G3" i="2" s="1"/>
  <c r="V3" i="2" s="1"/>
  <c r="C8" i="2"/>
  <c r="E8" i="2" s="1"/>
  <c r="G8" i="2" s="1"/>
  <c r="V8" i="2" s="1"/>
  <c r="AA8" i="2" s="1"/>
  <c r="C7" i="2"/>
  <c r="E7" i="2" s="1"/>
  <c r="G7" i="2" s="1"/>
  <c r="V7" i="2" s="1"/>
  <c r="AA7" i="2" s="1"/>
  <c r="C6" i="2"/>
  <c r="E6" i="2" s="1"/>
  <c r="G6" i="2" s="1"/>
  <c r="V6" i="2" s="1"/>
  <c r="AA6" i="2" s="1"/>
  <c r="J25" i="1"/>
  <c r="J26" i="1" s="1"/>
  <c r="C14" i="3" s="1"/>
  <c r="E14" i="3" s="1"/>
  <c r="J20" i="1"/>
  <c r="J21" i="1" s="1"/>
  <c r="C13" i="3" s="1"/>
  <c r="E13" i="3" s="1"/>
  <c r="J12" i="1"/>
  <c r="C12" i="3" s="1"/>
  <c r="E12" i="3" s="1"/>
  <c r="J5" i="1"/>
  <c r="J6" i="1" s="1"/>
  <c r="C11" i="3" s="1"/>
  <c r="E11" i="3" s="1"/>
  <c r="C24" i="1"/>
  <c r="C19" i="1"/>
  <c r="C30" i="1"/>
  <c r="C9" i="3" s="1"/>
  <c r="E9" i="3" s="1"/>
  <c r="P9" i="3" s="1"/>
  <c r="C35" i="1"/>
  <c r="C10" i="3" s="1"/>
  <c r="E10" i="3" s="1"/>
  <c r="P10" i="3" s="1"/>
  <c r="F24" i="1"/>
  <c r="F20" i="1"/>
  <c r="F18" i="1"/>
  <c r="C9" i="1"/>
  <c r="C10" i="1"/>
  <c r="C5" i="1"/>
  <c r="C4" i="1"/>
  <c r="Q8" i="3" l="1"/>
  <c r="Q6" i="3"/>
  <c r="Q13" i="3"/>
  <c r="R13" i="3" s="1"/>
  <c r="Q12" i="3"/>
  <c r="R12" i="3" s="1"/>
  <c r="R9" i="3"/>
  <c r="Q7" i="3"/>
  <c r="Q11" i="3"/>
  <c r="R11" i="3" s="1"/>
  <c r="Q10" i="3"/>
  <c r="R10" i="3" s="1"/>
  <c r="AB7" i="2"/>
  <c r="AB8" i="2"/>
  <c r="AB12" i="2"/>
  <c r="AB4" i="2"/>
  <c r="AC7" i="2"/>
  <c r="AA3" i="2"/>
  <c r="AC3" i="2" s="1"/>
  <c r="AB3" i="2"/>
  <c r="AC8" i="2"/>
  <c r="V5" i="2"/>
  <c r="AA5" i="2" s="1"/>
  <c r="AB5" i="2"/>
  <c r="V11" i="2"/>
  <c r="AA11" i="2" s="1"/>
  <c r="AB11" i="2"/>
  <c r="V17" i="2"/>
  <c r="AA17" i="2" s="1"/>
  <c r="AB17" i="2"/>
  <c r="AC12" i="2"/>
  <c r="AB6" i="2"/>
  <c r="AC6" i="2" s="1"/>
  <c r="AC4" i="2"/>
  <c r="J14" i="2"/>
  <c r="V14" i="2"/>
  <c r="AA14" i="2" s="1"/>
  <c r="AC14" i="2" s="1"/>
  <c r="E13" i="2"/>
  <c r="G13" i="2" s="1"/>
  <c r="AA13" i="2"/>
  <c r="E9" i="2"/>
  <c r="G9" i="2" s="1"/>
  <c r="AB9" i="2" s="1"/>
  <c r="AA9" i="2"/>
  <c r="AC9" i="2" s="1"/>
  <c r="J4" i="2"/>
  <c r="H11" i="3"/>
  <c r="H9" i="3"/>
  <c r="H10" i="3"/>
  <c r="H12" i="3"/>
  <c r="H15" i="3"/>
  <c r="H13" i="3"/>
  <c r="J12" i="2"/>
  <c r="H14" i="3"/>
  <c r="J3" i="2"/>
  <c r="J16" i="2"/>
  <c r="J5" i="2"/>
  <c r="J17" i="2"/>
  <c r="J11" i="2"/>
  <c r="J8" i="2"/>
  <c r="J7" i="2"/>
  <c r="J6" i="2"/>
  <c r="C10" i="2"/>
  <c r="E10" i="2" s="1"/>
  <c r="G10" i="2" s="1"/>
  <c r="AB10" i="2" s="1"/>
  <c r="G15" i="2"/>
  <c r="AB15" i="2" s="1"/>
  <c r="C25" i="1"/>
  <c r="C8" i="3" s="1"/>
  <c r="E8" i="3" s="1"/>
  <c r="P8" i="3" s="1"/>
  <c r="C6" i="1"/>
  <c r="C5" i="3" s="1"/>
  <c r="C20" i="1"/>
  <c r="C7" i="3" s="1"/>
  <c r="E7" i="3" s="1"/>
  <c r="P7" i="3" s="1"/>
  <c r="C11" i="1"/>
  <c r="C6" i="3" s="1"/>
  <c r="E6" i="3" s="1"/>
  <c r="P6" i="3" s="1"/>
  <c r="R6" i="3" l="1"/>
  <c r="R7" i="3"/>
  <c r="R8" i="3"/>
  <c r="AC5" i="2"/>
  <c r="J13" i="2"/>
  <c r="AB13" i="2"/>
  <c r="AC13" i="2" s="1"/>
  <c r="AC17" i="2"/>
  <c r="J9" i="2"/>
  <c r="AC11" i="2"/>
  <c r="J15" i="2"/>
  <c r="V15" i="2"/>
  <c r="AA15" i="2" s="1"/>
  <c r="AC15" i="2" s="1"/>
  <c r="J10" i="2"/>
  <c r="V10" i="2"/>
  <c r="AA10" i="2" s="1"/>
  <c r="AC10" i="2" s="1"/>
  <c r="H6" i="3"/>
  <c r="H8" i="3"/>
  <c r="H7" i="3"/>
  <c r="E5" i="3"/>
  <c r="C16" i="3"/>
  <c r="E18" i="2"/>
  <c r="G18" i="2"/>
  <c r="C18" i="2"/>
  <c r="J30" i="1"/>
  <c r="P5" i="3" l="1"/>
  <c r="P16" i="3" s="1"/>
  <c r="Q5" i="3"/>
  <c r="AB18" i="2"/>
  <c r="AC18" i="2"/>
  <c r="AA18" i="2"/>
  <c r="J18" i="2"/>
  <c r="E16" i="3"/>
  <c r="H5" i="3"/>
  <c r="H16" i="3" s="1"/>
  <c r="C19" i="3" s="1"/>
  <c r="R5" i="3" l="1"/>
  <c r="R16" i="3" s="1"/>
  <c r="Q16" i="3"/>
  <c r="Q19" i="3" l="1"/>
  <c r="AB5" i="4"/>
  <c r="AC5" i="4" s="1"/>
  <c r="K6" i="4"/>
  <c r="L6" i="4" s="1"/>
  <c r="K9" i="4"/>
  <c r="L9" i="4" s="1"/>
  <c r="K8" i="4"/>
  <c r="L8" i="4" s="1"/>
  <c r="AD8" i="4" s="1"/>
  <c r="K7" i="4"/>
  <c r="L7" i="4"/>
  <c r="AD7" i="4" s="1"/>
  <c r="K10" i="4"/>
  <c r="L10" i="4" s="1"/>
  <c r="K5" i="4"/>
  <c r="AB9" i="4"/>
  <c r="AC9" i="4" s="1"/>
  <c r="AB6" i="4"/>
  <c r="AC6" i="4" s="1"/>
  <c r="AB8" i="4"/>
  <c r="AC8" i="4" s="1"/>
  <c r="AB10" i="4"/>
  <c r="AC10" i="4" s="1"/>
  <c r="AB7" i="4"/>
  <c r="AC7" i="4" s="1"/>
  <c r="K11" i="4" l="1"/>
  <c r="AD9" i="4"/>
  <c r="AE9" i="4"/>
  <c r="O9" i="4"/>
  <c r="L5" i="4"/>
  <c r="L11" i="4" s="1"/>
  <c r="AE7" i="4"/>
  <c r="AF7" i="4" s="1"/>
  <c r="O7" i="4"/>
  <c r="AC11" i="4"/>
  <c r="AD6" i="4"/>
  <c r="O6" i="4"/>
  <c r="AE6" i="4"/>
  <c r="AD10" i="4"/>
  <c r="AE10" i="4"/>
  <c r="O10" i="4"/>
  <c r="AB11" i="4"/>
  <c r="AD5" i="4"/>
  <c r="O8" i="4"/>
  <c r="AE8" i="4"/>
  <c r="AF8" i="4" s="1"/>
  <c r="O5" i="4" l="1"/>
  <c r="O11" i="4" s="1"/>
  <c r="K14" i="4" s="1"/>
  <c r="AE5" i="4"/>
  <c r="AE11" i="4" s="1"/>
  <c r="AF9" i="4"/>
  <c r="AF10" i="4"/>
  <c r="AD11" i="4"/>
  <c r="AF6" i="4"/>
  <c r="AF5" i="4" l="1"/>
  <c r="AF11" i="4" s="1"/>
  <c r="AE14" i="4" l="1"/>
  <c r="B26" i="3"/>
  <c r="B2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</authors>
  <commentList>
    <comment ref="J21" authorId="0" shapeId="0" xr:uid="{89262B9F-B5A2-4B29-AA7F-CF981EA76EEE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área divida por 2, + 4m² das calotas</t>
        </r>
      </text>
    </comment>
    <comment ref="J26" authorId="0" shapeId="0" xr:uid="{A984F5DB-0590-4362-BAFB-48AEF6C1DE3C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área divida por 2, + 3m² das calotas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</authors>
  <commentList>
    <comment ref="C13" authorId="0" shapeId="0" xr:uid="{DDF45DD4-7AEF-4E3A-A954-9A9B087B11CC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área divida por 2, + 4m² das calotas</t>
        </r>
      </text>
    </comment>
    <comment ref="M13" authorId="0" shapeId="0" xr:uid="{35FE0839-979C-448C-8658-C9BA0A1B8652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área divida por 2, + 4m² das calotas</t>
        </r>
      </text>
    </comment>
    <comment ref="C14" authorId="0" shapeId="0" xr:uid="{43B773DD-94D9-42E3-8110-AD48A181B665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área divida por 2, + 3m² das calotas</t>
        </r>
      </text>
    </comment>
    <comment ref="M14" authorId="0" shapeId="0" xr:uid="{179751DD-B38B-4BDB-83E0-949D2BC4A30B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área divida por 2, + 3m² das calotas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</authors>
  <commentList>
    <comment ref="V9" authorId="0" shapeId="0" xr:uid="{D9BD0DAD-AC30-4738-8087-51FC5275B48C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6300 PÇ</t>
        </r>
      </text>
    </comment>
    <comment ref="C10" authorId="0" shapeId="0" xr:uid="{4C9B9CF9-7938-40F0-A897-86FF205C40B4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FOI ABATIDO 11,85 m² da área dos queimadores</t>
        </r>
      </text>
    </comment>
    <comment ref="R10" authorId="0" shapeId="0" xr:uid="{FE65AEE4-9AC5-447B-895B-289D16EEC8E6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FOI ABATIDO 11,85 m² da área dos queimadores</t>
        </r>
      </text>
    </comment>
    <comment ref="N11" authorId="0" shapeId="0" xr:uid="{7AF707FB-F2E6-4F74-8AB4-5ADF8E81EE97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229 x 229 x 63</t>
        </r>
      </text>
    </comment>
    <comment ref="W12" authorId="0" shapeId="0" xr:uid="{AC800B99-B2C6-42E2-AAEF-00CB0EC590C2}">
      <text>
        <r>
          <rPr>
            <b/>
            <sz val="9"/>
            <color indexed="81"/>
            <rFont val="Segoe UI"/>
            <charset val="1"/>
          </rPr>
          <t>lvnf@msn.com:</t>
        </r>
        <r>
          <rPr>
            <sz val="9"/>
            <color indexed="81"/>
            <rFont val="Segoe UI"/>
            <charset val="1"/>
          </rPr>
          <t xml:space="preserve">
ESTIMADO</t>
        </r>
      </text>
    </comment>
    <comment ref="N13" authorId="0" shapeId="0" xr:uid="{28C3926E-355D-418C-B9A5-9E705C34216A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229 x 229 x 63</t>
        </r>
      </text>
    </comment>
    <comment ref="V13" authorId="0" shapeId="0" xr:uid="{DC8FB4EA-E70B-406B-8D75-897C76800211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665 PÇS</t>
        </r>
      </text>
    </comment>
    <comment ref="N14" authorId="0" shapeId="0" xr:uid="{23E91D83-ED7A-42C4-967D-C22CD4894EEF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ISOLITE 65 EK</t>
        </r>
      </text>
    </comment>
    <comment ref="C15" authorId="0" shapeId="0" xr:uid="{94FF5FA7-91A5-46E2-B0F9-019D5A3EEDB3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10 BVS</t>
        </r>
      </text>
    </comment>
    <comment ref="N15" authorId="0" shapeId="0" xr:uid="{395B96AE-373B-495B-844A-70987527324D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ISOLITE 65 EK</t>
        </r>
      </text>
    </comment>
    <comment ref="R15" authorId="0" shapeId="0" xr:uid="{6E7202DC-82D7-442A-8292-03DC614B14CB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10 BVS</t>
        </r>
      </text>
    </comment>
    <comment ref="F16" authorId="0" shapeId="0" xr:uid="{FAD7727B-BA6D-4917-B917-504716C1A52C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DENSIDADE ESTIMADA</t>
        </r>
      </text>
    </comment>
    <comment ref="U16" authorId="0" shapeId="0" xr:uid="{ACF94A9D-F51C-42CD-8AE0-ECA5B1A5A457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DENSIDADE ESTIMADA</t>
        </r>
      </text>
    </comment>
    <comment ref="N17" authorId="0" shapeId="0" xr:uid="{31C4B3EA-F5FD-4028-B2AF-881478D23336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ISOLITE 65 EK</t>
        </r>
      </text>
    </comment>
  </commentList>
</comments>
</file>

<file path=xl/sharedStrings.xml><?xml version="1.0" encoding="utf-8"?>
<sst xmlns="http://schemas.openxmlformats.org/spreadsheetml/2006/main" count="380" uniqueCount="134">
  <si>
    <t>TETO</t>
  </si>
  <si>
    <t>C</t>
  </si>
  <si>
    <t>L</t>
  </si>
  <si>
    <t>PISO</t>
  </si>
  <si>
    <t>PAREDE SUL</t>
  </si>
  <si>
    <t>H</t>
  </si>
  <si>
    <t>3.1</t>
  </si>
  <si>
    <t>RETÂNGULO MAIOR</t>
  </si>
  <si>
    <t>RETÂNGULO MENOR</t>
  </si>
  <si>
    <t>3.2</t>
  </si>
  <si>
    <t>PAREDE NORTE</t>
  </si>
  <si>
    <t>DIMENSSÃO</t>
  </si>
  <si>
    <t>4.1</t>
  </si>
  <si>
    <t>PAREDE LESTE</t>
  </si>
  <si>
    <t>PAREDE OESTE</t>
  </si>
  <si>
    <t>TOTAL</t>
  </si>
  <si>
    <t>ÁREA</t>
  </si>
  <si>
    <t>CX DE AR</t>
  </si>
  <si>
    <t>DUTO</t>
  </si>
  <si>
    <t>TUB. SUP</t>
  </si>
  <si>
    <t>DIAM</t>
  </si>
  <si>
    <t>TUB. INF</t>
  </si>
  <si>
    <t>SOCAGEM MANUAL EM GRAMPO "V"</t>
  </si>
  <si>
    <t>CONCRETO DENSO DERRAMAMENTO</t>
  </si>
  <si>
    <t>OBSERVAÇÃO</t>
  </si>
  <si>
    <t>ITEM</t>
  </si>
  <si>
    <t>DESCRIÇÃO</t>
  </si>
  <si>
    <t>ESPESSURA</t>
  </si>
  <si>
    <t>VOLUME</t>
  </si>
  <si>
    <t>RAMPA DA CALDEIRA (concreto isolante)</t>
  </si>
  <si>
    <t>DENSIDADE</t>
  </si>
  <si>
    <t>PESO (KG)</t>
  </si>
  <si>
    <t>PISO (DUAS CAMADAS DE TIJOLO)</t>
  </si>
  <si>
    <t>DERRAMAMENTO (SEM ANCORAGEM)</t>
  </si>
  <si>
    <t>VALOR UNIT</t>
  </si>
  <si>
    <t>VALOR TOTAL</t>
  </si>
  <si>
    <t>-</t>
  </si>
  <si>
    <t xml:space="preserve"> REFRATÁRIO DAS BV'S </t>
  </si>
  <si>
    <t>REMOÇÃO/MONTAG BLOCOS REFRATÁRIOS DOS QUEIMADORES</t>
  </si>
  <si>
    <t>ABATER</t>
  </si>
  <si>
    <t>VOLUME (m³)</t>
  </si>
  <si>
    <t>SOCAGEM MANUAL EM TELA HEXAGONAL / ou derramento</t>
  </si>
  <si>
    <t>JUNTA DE DILATAÇÃO EM FIBRA CERÂMICA</t>
  </si>
  <si>
    <t>REMOÇÃO/APLIC VISORES EM BLOCOS REFRATÁRIOS</t>
  </si>
  <si>
    <t>20 unidades</t>
  </si>
  <si>
    <t>RODA PÉ - PISO</t>
  </si>
  <si>
    <t>TRIANGULO</t>
  </si>
  <si>
    <t>2.1</t>
  </si>
  <si>
    <t>SOCAGEM MANUAL</t>
  </si>
  <si>
    <t>PAREDE QUEIMADOR (tijolo dobrado)</t>
  </si>
  <si>
    <t>UNIDADE</t>
  </si>
  <si>
    <t>m³</t>
  </si>
  <si>
    <t>m²</t>
  </si>
  <si>
    <t>PISO (AGREGADO - região tijolo)</t>
  </si>
  <si>
    <t>PISO (rodapé - norte/sul/oeste)</t>
  </si>
  <si>
    <t>04 conjuntos (04 peças cada)</t>
  </si>
  <si>
    <t>área ext</t>
  </si>
  <si>
    <t>área int</t>
  </si>
  <si>
    <t>área final</t>
  </si>
  <si>
    <t>BLOCO QUEIMADORES</t>
  </si>
  <si>
    <t>UNID</t>
  </si>
  <si>
    <t>CJ</t>
  </si>
  <si>
    <t>TIPO</t>
  </si>
  <si>
    <t>thermofelt 64 kg/m³ - 4"</t>
  </si>
  <si>
    <t>03 ENTRADAS DE AR (concreto denso)</t>
  </si>
  <si>
    <t>PAREDE NORTE/SUL (concreto denso externo - lado superaquecedor)</t>
  </si>
  <si>
    <t>PAREDE LESTE (concreto denso externo - lado superaquecedor)</t>
  </si>
  <si>
    <t>QUEIMADORES (concreto denso - interno)</t>
  </si>
  <si>
    <t>PISO REGIÃO SUPERAQUECEDOR (concreto)</t>
  </si>
  <si>
    <t>COM FORNECIMENTO (isol + chapa)</t>
  </si>
  <si>
    <t>CASTIBAR 85</t>
  </si>
  <si>
    <t>CONCRETO (interno paredes norte/sul/oeste)</t>
  </si>
  <si>
    <t>CASTIBAR N</t>
  </si>
  <si>
    <t>SINAZITA</t>
  </si>
  <si>
    <t>SUPER IBAR SA. (305 X 305 X 63)</t>
  </si>
  <si>
    <t>subtotal</t>
  </si>
  <si>
    <t>1 - fator</t>
  </si>
  <si>
    <t>1 - isolante</t>
  </si>
  <si>
    <t>2 - fator</t>
  </si>
  <si>
    <t xml:space="preserve">2 - arame </t>
  </si>
  <si>
    <t>1 - parcial</t>
  </si>
  <si>
    <t>2 - parcial</t>
  </si>
  <si>
    <t>3 - fator</t>
  </si>
  <si>
    <t>3 - cinta</t>
  </si>
  <si>
    <t>3 - parcial</t>
  </si>
  <si>
    <t>4 - fator</t>
  </si>
  <si>
    <t>4 - selo</t>
  </si>
  <si>
    <t>4 - parcial</t>
  </si>
  <si>
    <t>5 - fator</t>
  </si>
  <si>
    <t>5 - chapa</t>
  </si>
  <si>
    <t>5 - parcial</t>
  </si>
  <si>
    <t>final</t>
  </si>
  <si>
    <t>6 - fator</t>
  </si>
  <si>
    <t>6 - parcial</t>
  </si>
  <si>
    <t>6 - rebite</t>
  </si>
  <si>
    <t>frete 15%</t>
  </si>
  <si>
    <t>lucro 20%</t>
  </si>
  <si>
    <t>MÃO-DE-OBRA</t>
  </si>
  <si>
    <t>MATERIAL m³</t>
  </si>
  <si>
    <t>EQUIP</t>
  </si>
  <si>
    <t>TUB</t>
  </si>
  <si>
    <t>impostos 17%</t>
  </si>
  <si>
    <t>VALOR MATERIAL</t>
  </si>
  <si>
    <t>COTAÇÃO</t>
  </si>
  <si>
    <t>FRETE</t>
  </si>
  <si>
    <t>LUCRO</t>
  </si>
  <si>
    <t>IMPOSTO</t>
  </si>
  <si>
    <t>VALOR MÃO-DE-OBRA</t>
  </si>
  <si>
    <t>RAMPA DA CALDEIRA (concreto anti-erosivo)</t>
  </si>
  <si>
    <t>MATERIAL</t>
  </si>
  <si>
    <t xml:space="preserve">PLW41 </t>
  </si>
  <si>
    <t>OK</t>
  </si>
  <si>
    <t>SUPER IBAR SA. (229 X 114 X 63)</t>
  </si>
  <si>
    <t>DIAM.</t>
  </si>
  <si>
    <t>ESP.</t>
  </si>
  <si>
    <t>TUB. 2" x 38</t>
  </si>
  <si>
    <t>TUB. 3" x 38</t>
  </si>
  <si>
    <t>TUB. 4" x 50</t>
  </si>
  <si>
    <t>COMP.</t>
  </si>
  <si>
    <t>CRV</t>
  </si>
  <si>
    <t>FLG</t>
  </si>
  <si>
    <t>VALV.</t>
  </si>
  <si>
    <t>TUB. 6" x 50</t>
  </si>
  <si>
    <t>TUB. 10" x 100</t>
  </si>
  <si>
    <t>TUB. 12" x 100</t>
  </si>
  <si>
    <t>RED</t>
  </si>
  <si>
    <t>PID</t>
  </si>
  <si>
    <t>ESTOQUE ACELEN</t>
  </si>
  <si>
    <t>OK*</t>
  </si>
  <si>
    <t>CASTIBAR PAB PETROBRAS</t>
  </si>
  <si>
    <t>PROJEÇÃO PNEUMÁTICA - GRAMPO PINO MESA</t>
  </si>
  <si>
    <t>isol. Equip</t>
  </si>
  <si>
    <t>isol. Tub</t>
  </si>
  <si>
    <t>refrat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</si>
</sst>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0.000"/>
    <numFmt numFmtId="165" formatCode="0.00\ &quot;m²&quot;"/>
    <numFmt numFmtId="166" formatCode="_-[$R$-416]\ * #,##0.00_-;\-[$R$-416]\ * #,##0.00_-;_-[$R$-416]\ * &quot;-&quot;??_-;_-@_-"/>
    <numFmt numFmtId="167" formatCode="0.00\ &quot;m³&quot;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6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1" xfId="0" applyFont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6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0" borderId="13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1" fillId="3" borderId="14" xfId="0" applyNumberFormat="1" applyFont="1" applyFill="1" applyBorder="1" applyAlignment="1">
      <alignment vertical="center"/>
    </xf>
    <xf numFmtId="166" fontId="11" fillId="3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166" fontId="11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11" fillId="4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5" fillId="0" borderId="2" xfId="0" applyFont="1" applyBorder="1"/>
    <xf numFmtId="0" fontId="16" fillId="0" borderId="6" xfId="0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7" fontId="16" fillId="0" borderId="4" xfId="0" applyNumberFormat="1" applyFont="1" applyBorder="1" applyAlignment="1">
      <alignment horizontal="center" vertical="center"/>
    </xf>
    <xf numFmtId="44" fontId="16" fillId="0" borderId="4" xfId="1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66" fontId="11" fillId="3" borderId="8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66" fontId="5" fillId="0" borderId="16" xfId="0" applyNumberFormat="1" applyFont="1" applyBorder="1" applyAlignment="1">
      <alignment vertical="center"/>
    </xf>
    <xf numFmtId="166" fontId="11" fillId="3" borderId="17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16" fillId="0" borderId="21" xfId="0" applyFont="1" applyBorder="1" applyAlignment="1">
      <alignment vertical="center"/>
    </xf>
    <xf numFmtId="167" fontId="16" fillId="0" borderId="7" xfId="0" applyNumberFormat="1" applyFont="1" applyBorder="1" applyAlignment="1">
      <alignment horizontal="center" vertical="center"/>
    </xf>
    <xf numFmtId="44" fontId="0" fillId="0" borderId="0" xfId="0" applyNumberFormat="1"/>
    <xf numFmtId="166" fontId="5" fillId="0" borderId="22" xfId="0" applyNumberFormat="1" applyFont="1" applyBorder="1" applyAlignment="1">
      <alignment vertical="center"/>
    </xf>
    <xf numFmtId="166" fontId="5" fillId="0" borderId="23" xfId="0" applyNumberFormat="1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166" fontId="5" fillId="0" borderId="26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4" fontId="0" fillId="0" borderId="0" xfId="1" applyFont="1"/>
    <xf numFmtId="0" fontId="11" fillId="0" borderId="2" xfId="0" applyFont="1" applyBorder="1" applyAlignment="1">
      <alignment horizontal="center" vertical="center"/>
    </xf>
    <xf numFmtId="166" fontId="5" fillId="0" borderId="18" xfId="0" applyNumberFormat="1" applyFont="1" applyBorder="1" applyAlignment="1">
      <alignment vertical="center"/>
    </xf>
    <xf numFmtId="166" fontId="5" fillId="0" borderId="19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12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2" fillId="0" borderId="0" xfId="0" applyFont="1"/>
    <xf numFmtId="44" fontId="2" fillId="5" borderId="0" xfId="0" applyNumberFormat="1" applyFont="1" applyFill="1"/>
    <xf numFmtId="0" fontId="0" fillId="6" borderId="0" xfId="0" applyFill="1" applyAlignment="1">
      <alignment horizontal="center"/>
    </xf>
    <xf numFmtId="44" fontId="17" fillId="6" borderId="0" xfId="1" applyFont="1" applyFill="1" applyAlignment="1">
      <alignment horizontal="center" vertical="center"/>
    </xf>
    <xf numFmtId="2" fontId="0" fillId="0" borderId="0" xfId="0" applyNumberFormat="1" applyAlignment="1">
      <alignment horizontal="right"/>
    </xf>
    <xf numFmtId="44" fontId="16" fillId="5" borderId="4" xfId="1" applyFont="1" applyFill="1" applyBorder="1" applyAlignment="1">
      <alignment horizontal="center" vertical="center"/>
    </xf>
    <xf numFmtId="166" fontId="6" fillId="5" borderId="0" xfId="0" applyNumberFormat="1" applyFont="1" applyFill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330811</xdr:colOff>
      <xdr:row>0</xdr:row>
      <xdr:rowOff>175260</xdr:rowOff>
    </xdr:from>
    <xdr:ext cx="4123950" cy="280205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6129058-8E76-421D-BA73-F1D25A6E9FE8}"/>
            </a:ext>
          </a:extLst>
        </xdr:cNvPr>
        <xdr:cNvSpPr/>
      </xdr:nvSpPr>
      <xdr:spPr>
        <a:xfrm>
          <a:off x="3698851" y="175260"/>
          <a:ext cx="412395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LEVANTAMENTO - ESCOPO ISOLAMENTO - VALOR CONTRATO</a:t>
          </a:r>
        </a:p>
      </xdr:txBody>
    </xdr:sp>
    <xdr:clientData/>
  </xdr:oneCellAnchor>
  <xdr:oneCellAnchor>
    <xdr:from>
      <xdr:col>11</xdr:col>
      <xdr:colOff>1899614</xdr:colOff>
      <xdr:row>1</xdr:row>
      <xdr:rowOff>0</xdr:rowOff>
    </xdr:from>
    <xdr:ext cx="4089004" cy="280205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EBC63FE5-C216-466B-BB02-2254793155E3}"/>
            </a:ext>
          </a:extLst>
        </xdr:cNvPr>
        <xdr:cNvSpPr/>
      </xdr:nvSpPr>
      <xdr:spPr>
        <a:xfrm>
          <a:off x="14205914" y="182880"/>
          <a:ext cx="408900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LEVANTAMENTO - ESCOPO ISOLAMENTO - VALOR COTAÇÕES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226561</xdr:colOff>
      <xdr:row>0</xdr:row>
      <xdr:rowOff>137160</xdr:rowOff>
    </xdr:from>
    <xdr:ext cx="4123950" cy="280205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4A4C835-B9C3-4207-BC7B-71B9B8C0960D}"/>
            </a:ext>
          </a:extLst>
        </xdr:cNvPr>
        <xdr:cNvSpPr/>
      </xdr:nvSpPr>
      <xdr:spPr>
        <a:xfrm>
          <a:off x="3343141" y="137160"/>
          <a:ext cx="412395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LEVANTAMENTO - ESCOPO ISOLAMENTO </a:t>
          </a:r>
          <a:r>
            <a:rPr lang="pt-BR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- VALOR CONTRATO</a:t>
          </a:r>
        </a:p>
      </xdr:txBody>
    </xdr:sp>
    <xdr:clientData/>
  </xdr:oneCellAnchor>
  <xdr:oneCellAnchor>
    <xdr:from>
      <xdr:col>22</xdr:col>
      <xdr:colOff>244035</xdr:colOff>
      <xdr:row>0</xdr:row>
      <xdr:rowOff>137160</xdr:rowOff>
    </xdr:from>
    <xdr:ext cx="4089004" cy="280205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4C324B2-3D5A-42B6-B719-C936C198F7D9}"/>
            </a:ext>
          </a:extLst>
        </xdr:cNvPr>
        <xdr:cNvSpPr/>
      </xdr:nvSpPr>
      <xdr:spPr>
        <a:xfrm>
          <a:off x="15994575" y="137160"/>
          <a:ext cx="408900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LEVANTAMENTO - ESCOPO ISOLAMENTO </a:t>
          </a:r>
          <a:r>
            <a:rPr lang="pt-BR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- VALOR COTAÇÕES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2066676</xdr:colOff>
      <xdr:row>0</xdr:row>
      <xdr:rowOff>0</xdr:rowOff>
    </xdr:from>
    <xdr:ext cx="5364995" cy="342786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685DDCB2-405D-4347-B813-57EC4E8BEFDF}"/>
            </a:ext>
          </a:extLst>
        </xdr:cNvPr>
        <xdr:cNvSpPr/>
      </xdr:nvSpPr>
      <xdr:spPr>
        <a:xfrm>
          <a:off x="2638176" y="0"/>
          <a:ext cx="53649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LEVANTAMENTO - ESCOPO REFRATÁRIO - VALOR CONTRATO</a:t>
          </a:r>
        </a:p>
      </xdr:txBody>
    </xdr:sp>
    <xdr:clientData/>
  </xdr:oneCellAnchor>
  <xdr:oneCellAnchor>
    <xdr:from>
      <xdr:col>16</xdr:col>
      <xdr:colOff>3587929</xdr:colOff>
      <xdr:row>0</xdr:row>
      <xdr:rowOff>0</xdr:rowOff>
    </xdr:from>
    <xdr:ext cx="5427641" cy="342786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3669552C-9C30-44CA-8D14-328381A68D16}"/>
            </a:ext>
          </a:extLst>
        </xdr:cNvPr>
        <xdr:cNvSpPr/>
      </xdr:nvSpPr>
      <xdr:spPr>
        <a:xfrm>
          <a:off x="22504579" y="0"/>
          <a:ext cx="542764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LEVANTAMENTO - ESCOPO REFRATÁRIO </a:t>
          </a:r>
          <a:r>
            <a:rPr lang="pt-BR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- VALOR COTAÇÕES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6F8AB-0476-48F2-9337-B85D55D7CC58}">
  <dimension ref="A1:O35"/>
  <sheetViews>
    <sheetView showGridLines="0" workbookViewId="0">
      <selection activeCell="C7" sqref="C7"/>
    </sheetView>
  </sheetViews>
  <sheetFormatPr defaultRowHeight="14.4" x14ac:dyDescent="0.3"/>
  <cols>
    <col min="2" max="2" width="14" bestFit="1" customWidth="1"/>
    <col min="3" max="3" width="23.109375" customWidth="1"/>
    <col min="9" max="9" width="11.88671875" customWidth="1"/>
    <col min="10" max="10" width="17.77734375" customWidth="1"/>
    <col min="15" max="15" width="20.33203125" bestFit="1" customWidth="1"/>
  </cols>
  <sheetData>
    <row r="1" spans="1:15" x14ac:dyDescent="0.3">
      <c r="O1" s="5" t="s">
        <v>59</v>
      </c>
    </row>
    <row r="2" spans="1:15" x14ac:dyDescent="0.3">
      <c r="O2" t="s">
        <v>56</v>
      </c>
    </row>
    <row r="3" spans="1:15" x14ac:dyDescent="0.3">
      <c r="A3" s="3">
        <v>1</v>
      </c>
      <c r="B3" s="5" t="s">
        <v>0</v>
      </c>
      <c r="C3" s="6" t="s">
        <v>11</v>
      </c>
      <c r="H3" s="3">
        <v>8</v>
      </c>
      <c r="I3" s="3" t="s">
        <v>17</v>
      </c>
      <c r="J3" s="6" t="s">
        <v>11</v>
      </c>
      <c r="O3" s="28">
        <f>PI()*(0.5*0.5)</f>
        <v>0.78539816339744828</v>
      </c>
    </row>
    <row r="4" spans="1:15" x14ac:dyDescent="0.3">
      <c r="B4" s="1" t="s">
        <v>1</v>
      </c>
      <c r="C4" s="2">
        <f>(9.353+1.219+1.568)</f>
        <v>12.139999999999999</v>
      </c>
      <c r="I4" s="1" t="s">
        <v>1</v>
      </c>
      <c r="J4" s="2">
        <v>6.5</v>
      </c>
      <c r="O4" t="s">
        <v>57</v>
      </c>
    </row>
    <row r="5" spans="1:15" x14ac:dyDescent="0.3">
      <c r="B5" s="1" t="s">
        <v>2</v>
      </c>
      <c r="C5" s="2">
        <f>(4.572+0.114+0.165+0.2)</f>
        <v>5.0510000000000002</v>
      </c>
      <c r="I5" s="1" t="s">
        <v>2</v>
      </c>
      <c r="J5" s="2">
        <f>(4.572+0.114+0.165+0.2)</f>
        <v>5.0510000000000002</v>
      </c>
      <c r="O5" s="28">
        <f>PI()*(0.28*0.28)</f>
        <v>0.2463008640414398</v>
      </c>
    </row>
    <row r="6" spans="1:15" x14ac:dyDescent="0.3">
      <c r="B6" s="8" t="s">
        <v>16</v>
      </c>
      <c r="C6" s="7">
        <f>(C4*C5)-C7</f>
        <v>46.169139999999999</v>
      </c>
      <c r="I6" s="8" t="s">
        <v>16</v>
      </c>
      <c r="J6" s="7">
        <f>J4*J5</f>
        <v>32.831499999999998</v>
      </c>
      <c r="O6" t="s">
        <v>58</v>
      </c>
    </row>
    <row r="7" spans="1:15" x14ac:dyDescent="0.3">
      <c r="B7" s="11" t="s">
        <v>39</v>
      </c>
      <c r="C7" s="1">
        <f>(3*5.05)</f>
        <v>15.149999999999999</v>
      </c>
      <c r="O7" s="28">
        <f>O3-O5</f>
        <v>0.53909729935600847</v>
      </c>
    </row>
    <row r="8" spans="1:15" x14ac:dyDescent="0.3">
      <c r="A8" s="3">
        <v>2</v>
      </c>
      <c r="B8" s="5" t="s">
        <v>3</v>
      </c>
      <c r="C8" s="6" t="s">
        <v>11</v>
      </c>
      <c r="H8" s="3">
        <v>9</v>
      </c>
      <c r="I8" s="3" t="s">
        <v>18</v>
      </c>
      <c r="J8" s="6" t="s">
        <v>11</v>
      </c>
    </row>
    <row r="9" spans="1:15" x14ac:dyDescent="0.3">
      <c r="B9" s="1" t="s">
        <v>1</v>
      </c>
      <c r="C9" s="2">
        <f>(9.353+1.219+1.568+3.276+3.276+1.295+1.295+0.209+0.209+0.2)</f>
        <v>21.900000000000002</v>
      </c>
      <c r="I9" s="1" t="s">
        <v>1</v>
      </c>
      <c r="J9" s="2">
        <v>2.7</v>
      </c>
    </row>
    <row r="10" spans="1:15" x14ac:dyDescent="0.3">
      <c r="B10" s="1" t="s">
        <v>2</v>
      </c>
      <c r="C10" s="2">
        <f>(4.572+0.114+0.165+0.2)</f>
        <v>5.0510000000000002</v>
      </c>
      <c r="I10" s="1" t="s">
        <v>2</v>
      </c>
      <c r="J10" s="2">
        <v>2.4</v>
      </c>
    </row>
    <row r="11" spans="1:15" x14ac:dyDescent="0.3">
      <c r="B11" s="8" t="s">
        <v>16</v>
      </c>
      <c r="C11" s="7">
        <f>C9*C10</f>
        <v>110.61690000000002</v>
      </c>
      <c r="I11" s="1" t="s">
        <v>5</v>
      </c>
      <c r="J11" s="1">
        <v>14.36</v>
      </c>
    </row>
    <row r="12" spans="1:15" x14ac:dyDescent="0.3">
      <c r="A12" s="3" t="s">
        <v>47</v>
      </c>
      <c r="B12" s="5" t="s">
        <v>45</v>
      </c>
      <c r="C12" s="6" t="s">
        <v>11</v>
      </c>
      <c r="I12" s="8" t="s">
        <v>16</v>
      </c>
      <c r="J12" s="7">
        <f>((J9+J10)*2)*J11</f>
        <v>146.47199999999998</v>
      </c>
    </row>
    <row r="13" spans="1:15" x14ac:dyDescent="0.3">
      <c r="B13" s="1" t="s">
        <v>1</v>
      </c>
      <c r="C13" s="2">
        <f>12.14+12.14+5.05</f>
        <v>29.330000000000002</v>
      </c>
      <c r="I13" s="8"/>
      <c r="J13" s="7"/>
    </row>
    <row r="14" spans="1:15" x14ac:dyDescent="0.3">
      <c r="B14" s="1" t="s">
        <v>46</v>
      </c>
      <c r="C14" s="1">
        <f>(0.3*0.3)/2</f>
        <v>4.4999999999999998E-2</v>
      </c>
      <c r="I14" s="8"/>
      <c r="J14" s="7"/>
    </row>
    <row r="15" spans="1:15" x14ac:dyDescent="0.3">
      <c r="B15" s="27" t="s">
        <v>40</v>
      </c>
      <c r="C15" s="7">
        <f>C13*C14</f>
        <v>1.31985</v>
      </c>
      <c r="I15" s="8"/>
      <c r="J15" s="7"/>
    </row>
    <row r="16" spans="1:15" x14ac:dyDescent="0.3">
      <c r="I16" s="8"/>
      <c r="J16" s="7"/>
    </row>
    <row r="17" spans="1:10" x14ac:dyDescent="0.3">
      <c r="A17" s="3">
        <v>3</v>
      </c>
      <c r="B17" s="5" t="s">
        <v>4</v>
      </c>
      <c r="C17" s="6" t="s">
        <v>11</v>
      </c>
      <c r="E17" s="4" t="s">
        <v>6</v>
      </c>
      <c r="F17" s="4" t="s">
        <v>7</v>
      </c>
      <c r="G17" s="4"/>
    </row>
    <row r="18" spans="1:10" x14ac:dyDescent="0.3">
      <c r="B18" s="1" t="s">
        <v>5</v>
      </c>
      <c r="C18" s="2">
        <v>11</v>
      </c>
      <c r="E18" s="4"/>
      <c r="F18" s="4">
        <f>2.4*3.6</f>
        <v>8.64</v>
      </c>
      <c r="G18" s="4"/>
      <c r="H18" s="3">
        <v>10</v>
      </c>
      <c r="I18" s="3" t="s">
        <v>19</v>
      </c>
      <c r="J18" s="6" t="s">
        <v>11</v>
      </c>
    </row>
    <row r="19" spans="1:10" x14ac:dyDescent="0.3">
      <c r="B19" s="1" t="s">
        <v>2</v>
      </c>
      <c r="C19" s="2">
        <f>(9.353+1.209+1.9+1.9)</f>
        <v>14.362</v>
      </c>
      <c r="E19" s="4" t="s">
        <v>9</v>
      </c>
      <c r="F19" s="4" t="s">
        <v>8</v>
      </c>
      <c r="G19" s="4"/>
      <c r="I19" s="1" t="s">
        <v>20</v>
      </c>
      <c r="J19" s="2">
        <v>1.6759999999999999</v>
      </c>
    </row>
    <row r="20" spans="1:10" x14ac:dyDescent="0.3">
      <c r="B20" s="8" t="s">
        <v>16</v>
      </c>
      <c r="C20" s="7">
        <f>(C18*C19)+F18+F20</f>
        <v>171.102</v>
      </c>
      <c r="E20" s="4"/>
      <c r="F20" s="4">
        <f>1.6*2.8</f>
        <v>4.4799999999999995</v>
      </c>
      <c r="G20" s="4"/>
      <c r="I20" s="1" t="s">
        <v>1</v>
      </c>
      <c r="J20" s="2">
        <f>(4.572+0.114+0.165+0.2)</f>
        <v>5.0510000000000002</v>
      </c>
    </row>
    <row r="21" spans="1:10" x14ac:dyDescent="0.3">
      <c r="I21" s="8" t="s">
        <v>16</v>
      </c>
      <c r="J21" s="2">
        <f>((J19*PI()*J20)/2)+4</f>
        <v>17.297538605370352</v>
      </c>
    </row>
    <row r="22" spans="1:10" x14ac:dyDescent="0.3">
      <c r="A22" s="3">
        <v>4</v>
      </c>
      <c r="B22" s="5" t="s">
        <v>10</v>
      </c>
      <c r="C22" s="6" t="s">
        <v>11</v>
      </c>
      <c r="E22" s="4"/>
      <c r="F22" s="4"/>
      <c r="G22" s="4"/>
      <c r="J22" s="7"/>
    </row>
    <row r="23" spans="1:10" x14ac:dyDescent="0.3">
      <c r="B23" s="1" t="s">
        <v>5</v>
      </c>
      <c r="C23" s="2">
        <v>11</v>
      </c>
      <c r="E23" s="4" t="s">
        <v>12</v>
      </c>
      <c r="F23" s="4" t="s">
        <v>8</v>
      </c>
      <c r="G23" s="4"/>
      <c r="H23" s="3">
        <v>11</v>
      </c>
      <c r="I23" s="3" t="s">
        <v>21</v>
      </c>
      <c r="J23" s="6" t="s">
        <v>11</v>
      </c>
    </row>
    <row r="24" spans="1:10" x14ac:dyDescent="0.3">
      <c r="B24" s="1" t="s">
        <v>2</v>
      </c>
      <c r="C24" s="2">
        <f>(9.353+1.209+1.9+1.9)</f>
        <v>14.362</v>
      </c>
      <c r="E24" s="4"/>
      <c r="F24" s="4">
        <f>1.6*2.8</f>
        <v>4.4799999999999995</v>
      </c>
      <c r="G24" s="4"/>
      <c r="I24" s="1" t="s">
        <v>20</v>
      </c>
      <c r="J24" s="2">
        <v>1.2190000000000001</v>
      </c>
    </row>
    <row r="25" spans="1:10" x14ac:dyDescent="0.3">
      <c r="B25" s="8" t="s">
        <v>16</v>
      </c>
      <c r="C25" s="7">
        <f>(C23*C24)+F24</f>
        <v>162.46199999999999</v>
      </c>
      <c r="G25" s="4"/>
      <c r="I25" s="1" t="s">
        <v>1</v>
      </c>
      <c r="J25" s="2">
        <f>(4.572+0.114+0.165+0.2)</f>
        <v>5.0510000000000002</v>
      </c>
    </row>
    <row r="26" spans="1:10" x14ac:dyDescent="0.3">
      <c r="I26" s="8" t="s">
        <v>16</v>
      </c>
      <c r="J26" s="2">
        <f>((J24*PI()*J25)/2)+3</f>
        <v>12.671658448655407</v>
      </c>
    </row>
    <row r="27" spans="1:10" x14ac:dyDescent="0.3">
      <c r="A27" s="3">
        <v>5</v>
      </c>
      <c r="B27" s="5" t="s">
        <v>13</v>
      </c>
      <c r="C27" s="6" t="s">
        <v>11</v>
      </c>
    </row>
    <row r="28" spans="1:10" x14ac:dyDescent="0.3">
      <c r="B28" s="1" t="s">
        <v>5</v>
      </c>
      <c r="C28" s="2">
        <v>11</v>
      </c>
    </row>
    <row r="29" spans="1:10" x14ac:dyDescent="0.3">
      <c r="B29" s="1" t="s">
        <v>2</v>
      </c>
      <c r="C29" s="2">
        <v>5.0999999999999996</v>
      </c>
    </row>
    <row r="30" spans="1:10" x14ac:dyDescent="0.3">
      <c r="B30" s="8" t="s">
        <v>16</v>
      </c>
      <c r="C30" s="7">
        <f>(C28*C29)</f>
        <v>56.099999999999994</v>
      </c>
      <c r="I30" s="9" t="s">
        <v>15</v>
      </c>
      <c r="J30" s="10">
        <f>C35+C30+C25+C20+C11+C6+J6+J12+J21+J26</f>
        <v>803.66273705402568</v>
      </c>
    </row>
    <row r="32" spans="1:10" x14ac:dyDescent="0.3">
      <c r="A32" s="3">
        <v>6</v>
      </c>
      <c r="B32" s="5" t="s">
        <v>14</v>
      </c>
      <c r="C32" s="6" t="s">
        <v>11</v>
      </c>
    </row>
    <row r="33" spans="2:3" x14ac:dyDescent="0.3">
      <c r="B33" s="1" t="s">
        <v>5</v>
      </c>
      <c r="C33" s="2">
        <v>9.4</v>
      </c>
    </row>
    <row r="34" spans="2:3" x14ac:dyDescent="0.3">
      <c r="B34" s="1" t="s">
        <v>2</v>
      </c>
      <c r="C34" s="2">
        <v>5.0999999999999996</v>
      </c>
    </row>
    <row r="35" spans="2:3" x14ac:dyDescent="0.3">
      <c r="B35" s="8" t="s">
        <v>16</v>
      </c>
      <c r="C35" s="7">
        <f>(C33*C34)</f>
        <v>47.94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07DC-7A68-4C1B-B961-76C119C749C7}">
  <sheetPr>
    <pageSetUpPr fitToPage="1"/>
  </sheetPr>
  <dimension ref="A1:AS31"/>
  <sheetViews>
    <sheetView showGridLines="0" zoomScaleNormal="100" workbookViewId="0">
      <selection activeCell="B22" sqref="B22"/>
    </sheetView>
  </sheetViews>
  <sheetFormatPr defaultRowHeight="14.4" x14ac:dyDescent="0.3"/>
  <cols>
    <col min="1" max="1" width="6.5546875" customWidth="1"/>
    <col min="2" max="2" width="30.5546875" customWidth="1"/>
    <col min="3" max="3" width="12" customWidth="1"/>
    <col min="4" max="4" width="14.5546875" customWidth="1"/>
    <col min="5" max="5" width="12.21875" customWidth="1"/>
    <col min="6" max="6" width="23.109375" customWidth="1"/>
    <col min="7" max="7" width="18.88671875" customWidth="1"/>
    <col min="8" max="8" width="23.109375" customWidth="1"/>
    <col min="9" max="9" width="28.88671875" bestFit="1" customWidth="1"/>
    <col min="10" max="10" width="3" customWidth="1"/>
    <col min="11" max="11" width="6.5546875" customWidth="1"/>
    <col min="12" max="12" width="30.5546875" customWidth="1"/>
    <col min="13" max="13" width="12" customWidth="1"/>
    <col min="14" max="14" width="14.5546875" customWidth="1"/>
    <col min="15" max="15" width="12.21875" customWidth="1"/>
    <col min="16" max="16" width="14.33203125" customWidth="1"/>
    <col min="17" max="18" width="16" customWidth="1"/>
    <col min="19" max="19" width="9.44140625" customWidth="1"/>
    <col min="21" max="21" width="9.33203125" bestFit="1" customWidth="1"/>
    <col min="22" max="24" width="9.33203125" customWidth="1"/>
    <col min="28" max="40" width="11.88671875" customWidth="1"/>
    <col min="41" max="42" width="10.33203125" bestFit="1" customWidth="1"/>
    <col min="43" max="43" width="7.88671875" customWidth="1"/>
    <col min="44" max="44" width="11.88671875" bestFit="1" customWidth="1"/>
  </cols>
  <sheetData>
    <row r="1" spans="1:45" x14ac:dyDescent="0.3">
      <c r="S1" s="11"/>
      <c r="T1" s="40" t="s">
        <v>76</v>
      </c>
      <c r="U1" s="93" t="s">
        <v>77</v>
      </c>
      <c r="V1" s="38" t="s">
        <v>80</v>
      </c>
      <c r="W1" s="40" t="s">
        <v>78</v>
      </c>
      <c r="X1" s="93" t="s">
        <v>79</v>
      </c>
      <c r="Y1" s="38" t="s">
        <v>81</v>
      </c>
      <c r="Z1" s="40" t="s">
        <v>82</v>
      </c>
      <c r="AA1" s="93" t="s">
        <v>83</v>
      </c>
      <c r="AB1" s="38" t="s">
        <v>84</v>
      </c>
      <c r="AC1" s="40" t="s">
        <v>85</v>
      </c>
      <c r="AD1" s="93" t="s">
        <v>86</v>
      </c>
      <c r="AE1" s="38" t="s">
        <v>87</v>
      </c>
      <c r="AF1" s="40" t="s">
        <v>88</v>
      </c>
      <c r="AG1" s="93" t="s">
        <v>89</v>
      </c>
      <c r="AH1" s="37" t="s">
        <v>90</v>
      </c>
      <c r="AI1" s="40" t="s">
        <v>92</v>
      </c>
      <c r="AJ1" s="93" t="s">
        <v>94</v>
      </c>
      <c r="AK1" s="37" t="s">
        <v>93</v>
      </c>
      <c r="AL1" s="48" t="s">
        <v>75</v>
      </c>
      <c r="AM1" s="51" t="s">
        <v>95</v>
      </c>
      <c r="AN1" s="51" t="s">
        <v>96</v>
      </c>
      <c r="AO1" s="51" t="s">
        <v>101</v>
      </c>
      <c r="AP1" s="48" t="s">
        <v>91</v>
      </c>
    </row>
    <row r="2" spans="1:45" x14ac:dyDescent="0.3">
      <c r="S2" s="65" t="s">
        <v>99</v>
      </c>
      <c r="T2" s="39">
        <v>2</v>
      </c>
      <c r="U2" s="41">
        <v>52.55</v>
      </c>
      <c r="V2" s="43">
        <f>T2*U2</f>
        <v>105.1</v>
      </c>
      <c r="W2" s="39"/>
      <c r="X2" s="41"/>
      <c r="Y2" s="43">
        <f>W2*X2</f>
        <v>0</v>
      </c>
      <c r="Z2" s="39"/>
      <c r="AA2" s="41"/>
      <c r="AB2" s="43">
        <f>Z2*AA2</f>
        <v>0</v>
      </c>
      <c r="AC2" s="39"/>
      <c r="AD2" s="41">
        <v>0.5</v>
      </c>
      <c r="AE2" s="43">
        <f>AC2*AD2</f>
        <v>0</v>
      </c>
      <c r="AF2" s="39">
        <v>3.6</v>
      </c>
      <c r="AG2" s="41">
        <f>35.5*1.325</f>
        <v>47.037500000000001</v>
      </c>
      <c r="AH2" s="43">
        <f>AF2*AG2</f>
        <v>169.33500000000001</v>
      </c>
      <c r="AI2" s="67">
        <v>12</v>
      </c>
      <c r="AJ2" s="42">
        <v>0.18</v>
      </c>
      <c r="AK2" s="68">
        <f>AI2*AJ2</f>
        <v>2.16</v>
      </c>
      <c r="AL2" s="49">
        <f>V2+Y2+AB2+AE2+AH2+AK2</f>
        <v>276.59500000000003</v>
      </c>
      <c r="AM2" s="49">
        <f>0.15*AL2</f>
        <v>41.489250000000006</v>
      </c>
      <c r="AN2" s="49">
        <f>0.2*AL2</f>
        <v>55.31900000000001</v>
      </c>
      <c r="AO2" s="50">
        <v>1.17</v>
      </c>
      <c r="AP2" s="52">
        <f>(AL2+AM2+AN2)*AO2</f>
        <v>436.88180250000005</v>
      </c>
      <c r="AQ2" t="s">
        <v>52</v>
      </c>
      <c r="AR2" s="52">
        <f>AP2/0.05</f>
        <v>8737.636050000001</v>
      </c>
      <c r="AS2" t="s">
        <v>51</v>
      </c>
    </row>
    <row r="3" spans="1:45" ht="30.6" customHeight="1" x14ac:dyDescent="0.3">
      <c r="H3" s="36"/>
      <c r="S3" s="66" t="s">
        <v>100</v>
      </c>
      <c r="T3" s="39">
        <v>2</v>
      </c>
      <c r="U3" s="41">
        <v>52.55</v>
      </c>
      <c r="V3" s="43">
        <f>T3*U3</f>
        <v>105.1</v>
      </c>
      <c r="W3" s="39"/>
      <c r="X3" s="41"/>
      <c r="Y3" s="43">
        <f>W3*X3</f>
        <v>0</v>
      </c>
      <c r="Z3" s="39">
        <v>3</v>
      </c>
      <c r="AA3" s="41">
        <v>1.05</v>
      </c>
      <c r="AB3" s="43">
        <f>Z3*AA3</f>
        <v>3.1500000000000004</v>
      </c>
      <c r="AC3" s="39">
        <v>3</v>
      </c>
      <c r="AD3" s="41">
        <v>0.5</v>
      </c>
      <c r="AE3" s="43">
        <f>AC3*AD3</f>
        <v>1.5</v>
      </c>
      <c r="AF3" s="39">
        <v>3.6</v>
      </c>
      <c r="AG3" s="41">
        <f>35.5*1.325</f>
        <v>47.037500000000001</v>
      </c>
      <c r="AH3" s="44">
        <f>AF3*AG3</f>
        <v>169.33500000000001</v>
      </c>
      <c r="AI3" s="69">
        <v>12</v>
      </c>
      <c r="AJ3" s="70">
        <v>0.18</v>
      </c>
      <c r="AK3" s="71">
        <f>AI3*AJ3</f>
        <v>2.16</v>
      </c>
      <c r="AL3" s="49">
        <f>V3+Y3+AB3+AE3+AH3+AK3</f>
        <v>281.24500000000006</v>
      </c>
      <c r="AM3" s="49">
        <f>0.15*AL3</f>
        <v>42.186750000000011</v>
      </c>
      <c r="AN3" s="49">
        <f>0.2*AL3</f>
        <v>56.249000000000017</v>
      </c>
      <c r="AO3" s="50">
        <v>1.17</v>
      </c>
      <c r="AP3" s="52">
        <f>(AL3+AM3+AN3)*AO3</f>
        <v>444.2264775000001</v>
      </c>
      <c r="AQ3" t="s">
        <v>52</v>
      </c>
      <c r="AR3" s="52">
        <f>AP3/0.05</f>
        <v>8884.5295500000011</v>
      </c>
      <c r="AS3" t="s">
        <v>51</v>
      </c>
    </row>
    <row r="4" spans="1:45" s="24" customFormat="1" ht="28.8" customHeight="1" x14ac:dyDescent="0.3">
      <c r="A4" s="53" t="s">
        <v>25</v>
      </c>
      <c r="B4" s="53" t="s">
        <v>26</v>
      </c>
      <c r="C4" s="53" t="s">
        <v>16</v>
      </c>
      <c r="D4" s="53" t="s">
        <v>27</v>
      </c>
      <c r="E4" s="53" t="s">
        <v>28</v>
      </c>
      <c r="F4" s="53" t="s">
        <v>62</v>
      </c>
      <c r="G4" s="53" t="s">
        <v>34</v>
      </c>
      <c r="H4" s="53" t="s">
        <v>35</v>
      </c>
      <c r="I4" s="53" t="s">
        <v>24</v>
      </c>
      <c r="J4" s="45"/>
      <c r="K4" s="53" t="s">
        <v>25</v>
      </c>
      <c r="L4" s="53" t="s">
        <v>26</v>
      </c>
      <c r="M4" s="53" t="s">
        <v>16</v>
      </c>
      <c r="N4" s="53" t="s">
        <v>27</v>
      </c>
      <c r="O4" s="53" t="s">
        <v>28</v>
      </c>
      <c r="P4" s="53" t="s">
        <v>98</v>
      </c>
      <c r="Q4" s="53" t="s">
        <v>97</v>
      </c>
      <c r="R4" s="53" t="s">
        <v>15</v>
      </c>
    </row>
    <row r="5" spans="1:45" ht="19.95" customHeight="1" x14ac:dyDescent="0.3">
      <c r="A5" s="12">
        <v>1</v>
      </c>
      <c r="B5" s="13" t="s">
        <v>0</v>
      </c>
      <c r="C5" s="54">
        <f>'MEM. CALC - ISOL'!C6</f>
        <v>46.169139999999999</v>
      </c>
      <c r="D5" s="54">
        <v>0.1</v>
      </c>
      <c r="E5" s="54">
        <f>C5*D5</f>
        <v>4.6169140000000004</v>
      </c>
      <c r="F5" s="54" t="s">
        <v>63</v>
      </c>
      <c r="G5" s="55">
        <f>1300+10800</f>
        <v>12100</v>
      </c>
      <c r="H5" s="55">
        <f>E5*G5</f>
        <v>55864.659400000004</v>
      </c>
      <c r="I5" s="33" t="s">
        <v>69</v>
      </c>
      <c r="J5" s="46"/>
      <c r="K5" s="12">
        <v>1</v>
      </c>
      <c r="L5" s="13" t="s">
        <v>0</v>
      </c>
      <c r="M5" s="54">
        <f>C5</f>
        <v>46.169139999999999</v>
      </c>
      <c r="N5" s="54">
        <f>D5</f>
        <v>0.1</v>
      </c>
      <c r="O5" s="54">
        <f>M5*N5</f>
        <v>4.6169140000000004</v>
      </c>
      <c r="P5" s="94">
        <f>$AR$2*E5</f>
        <v>40340.914206149711</v>
      </c>
      <c r="Q5" s="95">
        <f>0.4*G5*E5</f>
        <v>22345.86376</v>
      </c>
      <c r="R5" s="64">
        <f>P5+Q5</f>
        <v>62686.777966149712</v>
      </c>
      <c r="S5" s="42"/>
    </row>
    <row r="6" spans="1:45" ht="19.95" customHeight="1" x14ac:dyDescent="0.3">
      <c r="A6" s="12">
        <v>2</v>
      </c>
      <c r="B6" s="13" t="s">
        <v>3</v>
      </c>
      <c r="C6" s="54">
        <f>'MEM. CALC - ISOL'!C11</f>
        <v>110.61690000000002</v>
      </c>
      <c r="D6" s="54">
        <v>0.1</v>
      </c>
      <c r="E6" s="54">
        <f t="shared" ref="E6:E15" si="0">C6*D6</f>
        <v>11.061690000000002</v>
      </c>
      <c r="F6" s="54" t="s">
        <v>63</v>
      </c>
      <c r="G6" s="55">
        <f t="shared" ref="G6:G15" si="1">1300+10800</f>
        <v>12100</v>
      </c>
      <c r="H6" s="55">
        <f t="shared" ref="H6:H15" si="2">E6*G6</f>
        <v>133846.44900000002</v>
      </c>
      <c r="I6" s="33" t="s">
        <v>69</v>
      </c>
      <c r="J6" s="46"/>
      <c r="K6" s="12">
        <v>2</v>
      </c>
      <c r="L6" s="13" t="s">
        <v>3</v>
      </c>
      <c r="M6" s="54">
        <f t="shared" ref="M6:M15" si="3">C6</f>
        <v>110.61690000000002</v>
      </c>
      <c r="N6" s="54">
        <f t="shared" ref="N6:N15" si="4">D6</f>
        <v>0.1</v>
      </c>
      <c r="O6" s="54">
        <f t="shared" ref="O6:O15" si="5">M6*N6</f>
        <v>11.061690000000002</v>
      </c>
      <c r="P6" s="95">
        <f t="shared" ref="P6:P15" si="6">$AR$2*E6</f>
        <v>96653.021317924533</v>
      </c>
      <c r="Q6" s="95">
        <f t="shared" ref="Q6:Q15" si="7">0.4*G6*E6</f>
        <v>53538.579600000012</v>
      </c>
      <c r="R6" s="64">
        <f t="shared" ref="R6:R15" si="8">P6+Q6</f>
        <v>150191.60091792454</v>
      </c>
      <c r="S6" s="42"/>
      <c r="Y6" s="24"/>
      <c r="Z6" s="24"/>
      <c r="AA6" s="24"/>
    </row>
    <row r="7" spans="1:45" ht="19.95" customHeight="1" x14ac:dyDescent="0.3">
      <c r="A7" s="12">
        <v>3</v>
      </c>
      <c r="B7" s="13" t="s">
        <v>4</v>
      </c>
      <c r="C7" s="54">
        <f>'MEM. CALC - ISOL'!C20</f>
        <v>171.102</v>
      </c>
      <c r="D7" s="54">
        <v>0.1</v>
      </c>
      <c r="E7" s="54">
        <f t="shared" si="0"/>
        <v>17.110200000000003</v>
      </c>
      <c r="F7" s="54" t="s">
        <v>63</v>
      </c>
      <c r="G7" s="55">
        <f t="shared" si="1"/>
        <v>12100</v>
      </c>
      <c r="H7" s="55">
        <f t="shared" si="2"/>
        <v>207033.42000000004</v>
      </c>
      <c r="I7" s="33" t="s">
        <v>69</v>
      </c>
      <c r="J7" s="46"/>
      <c r="K7" s="12">
        <v>3</v>
      </c>
      <c r="L7" s="13" t="s">
        <v>4</v>
      </c>
      <c r="M7" s="54">
        <f t="shared" si="3"/>
        <v>171.102</v>
      </c>
      <c r="N7" s="54">
        <f t="shared" si="4"/>
        <v>0.1</v>
      </c>
      <c r="O7" s="54">
        <f t="shared" si="5"/>
        <v>17.110200000000003</v>
      </c>
      <c r="P7" s="95">
        <f t="shared" si="6"/>
        <v>149502.70034271004</v>
      </c>
      <c r="Q7" s="95">
        <f t="shared" si="7"/>
        <v>82813.368000000017</v>
      </c>
      <c r="R7" s="64">
        <f t="shared" si="8"/>
        <v>232316.06834271006</v>
      </c>
      <c r="S7" s="42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P7" s="36"/>
    </row>
    <row r="8" spans="1:45" ht="19.95" customHeight="1" x14ac:dyDescent="0.3">
      <c r="A8" s="12">
        <v>4</v>
      </c>
      <c r="B8" s="13" t="s">
        <v>10</v>
      </c>
      <c r="C8" s="54">
        <f>'MEM. CALC - ISOL'!C25</f>
        <v>162.46199999999999</v>
      </c>
      <c r="D8" s="54">
        <v>0.1</v>
      </c>
      <c r="E8" s="54">
        <f t="shared" si="0"/>
        <v>16.246199999999998</v>
      </c>
      <c r="F8" s="54" t="s">
        <v>63</v>
      </c>
      <c r="G8" s="55">
        <f t="shared" si="1"/>
        <v>12100</v>
      </c>
      <c r="H8" s="55">
        <f t="shared" si="2"/>
        <v>196579.02</v>
      </c>
      <c r="I8" s="33" t="s">
        <v>69</v>
      </c>
      <c r="J8" s="46"/>
      <c r="K8" s="12">
        <v>4</v>
      </c>
      <c r="L8" s="13" t="s">
        <v>10</v>
      </c>
      <c r="M8" s="54">
        <f t="shared" si="3"/>
        <v>162.46199999999999</v>
      </c>
      <c r="N8" s="54">
        <f t="shared" si="4"/>
        <v>0.1</v>
      </c>
      <c r="O8" s="54">
        <f t="shared" si="5"/>
        <v>16.246199999999998</v>
      </c>
      <c r="P8" s="95">
        <f t="shared" si="6"/>
        <v>141953.38279551</v>
      </c>
      <c r="Q8" s="95">
        <f t="shared" si="7"/>
        <v>78631.607999999993</v>
      </c>
      <c r="R8" s="64">
        <f t="shared" si="8"/>
        <v>220584.99079551001</v>
      </c>
      <c r="S8" s="4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5" ht="19.95" customHeight="1" x14ac:dyDescent="0.3">
      <c r="A9" s="12">
        <v>5</v>
      </c>
      <c r="B9" s="13" t="s">
        <v>13</v>
      </c>
      <c r="C9" s="54">
        <f>'MEM. CALC - ISOL'!C30</f>
        <v>56.099999999999994</v>
      </c>
      <c r="D9" s="54">
        <v>0.1</v>
      </c>
      <c r="E9" s="54">
        <f t="shared" si="0"/>
        <v>5.6099999999999994</v>
      </c>
      <c r="F9" s="54" t="s">
        <v>63</v>
      </c>
      <c r="G9" s="55">
        <f t="shared" si="1"/>
        <v>12100</v>
      </c>
      <c r="H9" s="55">
        <f t="shared" si="2"/>
        <v>67881</v>
      </c>
      <c r="I9" s="33" t="s">
        <v>69</v>
      </c>
      <c r="J9" s="46"/>
      <c r="K9" s="12">
        <v>5</v>
      </c>
      <c r="L9" s="13" t="s">
        <v>13</v>
      </c>
      <c r="M9" s="54">
        <f t="shared" si="3"/>
        <v>56.099999999999994</v>
      </c>
      <c r="N9" s="54">
        <f t="shared" si="4"/>
        <v>0.1</v>
      </c>
      <c r="O9" s="54">
        <f t="shared" si="5"/>
        <v>5.6099999999999994</v>
      </c>
      <c r="P9" s="95">
        <f t="shared" si="6"/>
        <v>49018.138240500004</v>
      </c>
      <c r="Q9" s="95">
        <f t="shared" si="7"/>
        <v>27152.399999999998</v>
      </c>
      <c r="R9" s="64">
        <f t="shared" si="8"/>
        <v>76170.538240499998</v>
      </c>
      <c r="S9" s="42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5" ht="19.95" customHeight="1" x14ac:dyDescent="0.3">
      <c r="A10" s="12">
        <v>6</v>
      </c>
      <c r="B10" s="13" t="s">
        <v>14</v>
      </c>
      <c r="C10" s="54">
        <f>'MEM. CALC - ISOL'!C35</f>
        <v>47.94</v>
      </c>
      <c r="D10" s="54">
        <v>0.1</v>
      </c>
      <c r="E10" s="54">
        <f t="shared" si="0"/>
        <v>4.7939999999999996</v>
      </c>
      <c r="F10" s="54" t="s">
        <v>63</v>
      </c>
      <c r="G10" s="55">
        <f t="shared" si="1"/>
        <v>12100</v>
      </c>
      <c r="H10" s="55">
        <f t="shared" si="2"/>
        <v>58007.399999999994</v>
      </c>
      <c r="I10" s="33" t="s">
        <v>69</v>
      </c>
      <c r="J10" s="46"/>
      <c r="K10" s="12">
        <v>6</v>
      </c>
      <c r="L10" s="13" t="s">
        <v>14</v>
      </c>
      <c r="M10" s="54">
        <f t="shared" si="3"/>
        <v>47.94</v>
      </c>
      <c r="N10" s="54">
        <f t="shared" si="4"/>
        <v>0.1</v>
      </c>
      <c r="O10" s="54">
        <f t="shared" si="5"/>
        <v>4.7939999999999996</v>
      </c>
      <c r="P10" s="95">
        <f t="shared" si="6"/>
        <v>41888.2272237</v>
      </c>
      <c r="Q10" s="95">
        <f t="shared" si="7"/>
        <v>23202.959999999999</v>
      </c>
      <c r="R10" s="64">
        <f t="shared" si="8"/>
        <v>65091.187223699999</v>
      </c>
      <c r="S10" s="42"/>
    </row>
    <row r="11" spans="1:45" ht="19.95" customHeight="1" x14ac:dyDescent="0.3">
      <c r="A11" s="12">
        <v>7</v>
      </c>
      <c r="B11" s="13" t="s">
        <v>17</v>
      </c>
      <c r="C11" s="54">
        <f>'MEM. CALC - ISOL'!J6</f>
        <v>32.831499999999998</v>
      </c>
      <c r="D11" s="54">
        <v>0.1</v>
      </c>
      <c r="E11" s="54">
        <f t="shared" si="0"/>
        <v>3.28315</v>
      </c>
      <c r="F11" s="54" t="s">
        <v>63</v>
      </c>
      <c r="G11" s="55">
        <f t="shared" si="1"/>
        <v>12100</v>
      </c>
      <c r="H11" s="55">
        <f t="shared" si="2"/>
        <v>39726.114999999998</v>
      </c>
      <c r="I11" s="33" t="s">
        <v>69</v>
      </c>
      <c r="J11" s="46"/>
      <c r="K11" s="12">
        <v>7</v>
      </c>
      <c r="L11" s="13" t="s">
        <v>17</v>
      </c>
      <c r="M11" s="54">
        <f t="shared" si="3"/>
        <v>32.831499999999998</v>
      </c>
      <c r="N11" s="54">
        <f t="shared" si="4"/>
        <v>0.1</v>
      </c>
      <c r="O11" s="54">
        <f t="shared" si="5"/>
        <v>3.28315</v>
      </c>
      <c r="P11" s="95">
        <f t="shared" si="6"/>
        <v>28686.969797557504</v>
      </c>
      <c r="Q11" s="95">
        <f t="shared" si="7"/>
        <v>15890.446</v>
      </c>
      <c r="R11" s="64">
        <f t="shared" si="8"/>
        <v>44577.415797557507</v>
      </c>
      <c r="S11" s="42"/>
      <c r="Y11" s="24"/>
      <c r="Z11" s="24"/>
      <c r="AA11" s="24"/>
    </row>
    <row r="12" spans="1:45" ht="19.95" customHeight="1" x14ac:dyDescent="0.3">
      <c r="A12" s="12">
        <v>8</v>
      </c>
      <c r="B12" s="13" t="s">
        <v>18</v>
      </c>
      <c r="C12" s="54">
        <f>'MEM. CALC - ISOL'!J12</f>
        <v>146.47199999999998</v>
      </c>
      <c r="D12" s="54">
        <v>0.1</v>
      </c>
      <c r="E12" s="54">
        <f t="shared" si="0"/>
        <v>14.647199999999998</v>
      </c>
      <c r="F12" s="54" t="s">
        <v>63</v>
      </c>
      <c r="G12" s="55">
        <f t="shared" si="1"/>
        <v>12100</v>
      </c>
      <c r="H12" s="55">
        <f t="shared" si="2"/>
        <v>177231.11999999997</v>
      </c>
      <c r="I12" s="33" t="s">
        <v>69</v>
      </c>
      <c r="J12" s="46"/>
      <c r="K12" s="12">
        <v>8</v>
      </c>
      <c r="L12" s="13" t="s">
        <v>18</v>
      </c>
      <c r="M12" s="54">
        <f t="shared" si="3"/>
        <v>146.47199999999998</v>
      </c>
      <c r="N12" s="54">
        <f t="shared" si="4"/>
        <v>0.1</v>
      </c>
      <c r="O12" s="54">
        <f t="shared" si="5"/>
        <v>14.647199999999998</v>
      </c>
      <c r="P12" s="95">
        <f t="shared" si="6"/>
        <v>127981.90275156</v>
      </c>
      <c r="Q12" s="95">
        <f t="shared" si="7"/>
        <v>70892.447999999989</v>
      </c>
      <c r="R12" s="64">
        <f t="shared" si="8"/>
        <v>198874.35075156001</v>
      </c>
      <c r="S12" s="42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5" ht="19.95" customHeight="1" x14ac:dyDescent="0.3">
      <c r="A13" s="12">
        <v>9</v>
      </c>
      <c r="B13" s="13" t="s">
        <v>19</v>
      </c>
      <c r="C13" s="54">
        <f>'MEM. CALC - ISOL'!J21</f>
        <v>17.297538605370352</v>
      </c>
      <c r="D13" s="54">
        <v>0.1</v>
      </c>
      <c r="E13" s="54">
        <f t="shared" si="0"/>
        <v>1.7297538605370353</v>
      </c>
      <c r="F13" s="54" t="s">
        <v>63</v>
      </c>
      <c r="G13" s="55">
        <f t="shared" si="1"/>
        <v>12100</v>
      </c>
      <c r="H13" s="55">
        <f t="shared" si="2"/>
        <v>20930.021712498128</v>
      </c>
      <c r="I13" s="33" t="s">
        <v>69</v>
      </c>
      <c r="J13" s="46"/>
      <c r="K13" s="12">
        <v>9</v>
      </c>
      <c r="L13" s="13" t="s">
        <v>19</v>
      </c>
      <c r="M13" s="54">
        <f t="shared" si="3"/>
        <v>17.297538605370352</v>
      </c>
      <c r="N13" s="54">
        <f t="shared" si="4"/>
        <v>0.1</v>
      </c>
      <c r="O13" s="54">
        <f t="shared" si="5"/>
        <v>1.7297538605370353</v>
      </c>
      <c r="P13" s="95">
        <f t="shared" si="6"/>
        <v>15113.959689455074</v>
      </c>
      <c r="Q13" s="95">
        <f t="shared" si="7"/>
        <v>8372.0086849992513</v>
      </c>
      <c r="R13" s="64">
        <f t="shared" si="8"/>
        <v>23485.968374454325</v>
      </c>
      <c r="S13" s="4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5" ht="19.95" customHeight="1" x14ac:dyDescent="0.3">
      <c r="A14" s="12">
        <v>10</v>
      </c>
      <c r="B14" s="13" t="s">
        <v>21</v>
      </c>
      <c r="C14" s="54">
        <f>'MEM. CALC - ISOL'!J26</f>
        <v>12.671658448655407</v>
      </c>
      <c r="D14" s="54">
        <v>0.1</v>
      </c>
      <c r="E14" s="54">
        <f t="shared" si="0"/>
        <v>1.2671658448655407</v>
      </c>
      <c r="F14" s="54" t="s">
        <v>63</v>
      </c>
      <c r="G14" s="55">
        <f t="shared" si="1"/>
        <v>12100</v>
      </c>
      <c r="H14" s="55">
        <f t="shared" si="2"/>
        <v>15332.706722873043</v>
      </c>
      <c r="I14" s="33" t="s">
        <v>69</v>
      </c>
      <c r="J14" s="46"/>
      <c r="K14" s="12">
        <v>10</v>
      </c>
      <c r="L14" s="13" t="s">
        <v>21</v>
      </c>
      <c r="M14" s="54">
        <f t="shared" si="3"/>
        <v>12.671658448655407</v>
      </c>
      <c r="N14" s="54">
        <f t="shared" si="4"/>
        <v>0.1</v>
      </c>
      <c r="O14" s="54">
        <f t="shared" si="5"/>
        <v>1.2671658448655407</v>
      </c>
      <c r="P14" s="95">
        <f t="shared" si="6"/>
        <v>11072.033967425858</v>
      </c>
      <c r="Q14" s="95">
        <f t="shared" si="7"/>
        <v>6133.082689149217</v>
      </c>
      <c r="R14" s="64">
        <f t="shared" si="8"/>
        <v>17205.116656575075</v>
      </c>
      <c r="S14" s="4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5" ht="19.95" customHeight="1" x14ac:dyDescent="0.3">
      <c r="A15" s="12">
        <v>11</v>
      </c>
      <c r="B15" s="26" t="s">
        <v>42</v>
      </c>
      <c r="C15" s="54">
        <f>20*0.1</f>
        <v>2</v>
      </c>
      <c r="D15" s="54">
        <v>0.1</v>
      </c>
      <c r="E15" s="56">
        <f t="shared" si="0"/>
        <v>0.2</v>
      </c>
      <c r="F15" s="54" t="s">
        <v>63</v>
      </c>
      <c r="G15" s="55">
        <f t="shared" si="1"/>
        <v>12100</v>
      </c>
      <c r="H15" s="57">
        <f t="shared" si="2"/>
        <v>2420</v>
      </c>
      <c r="I15" s="33" t="s">
        <v>69</v>
      </c>
      <c r="J15" s="46"/>
      <c r="K15" s="12">
        <v>11</v>
      </c>
      <c r="L15" s="26" t="s">
        <v>42</v>
      </c>
      <c r="M15" s="54">
        <f t="shared" si="3"/>
        <v>2</v>
      </c>
      <c r="N15" s="54">
        <f t="shared" si="4"/>
        <v>0.1</v>
      </c>
      <c r="O15" s="56">
        <f t="shared" si="5"/>
        <v>0.2</v>
      </c>
      <c r="P15" s="96">
        <f t="shared" si="6"/>
        <v>1747.5272100000002</v>
      </c>
      <c r="Q15" s="95">
        <f t="shared" si="7"/>
        <v>968</v>
      </c>
      <c r="R15" s="64">
        <f t="shared" si="8"/>
        <v>2715.5272100000002</v>
      </c>
      <c r="S15" s="42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5" ht="19.2" customHeight="1" x14ac:dyDescent="0.3">
      <c r="A16" s="58"/>
      <c r="B16" s="59" t="s">
        <v>15</v>
      </c>
      <c r="C16" s="60">
        <f>SUM(C5:C15)</f>
        <v>805.6627370540258</v>
      </c>
      <c r="D16" s="61"/>
      <c r="E16" s="62">
        <f>SUM(E5:E15)</f>
        <v>80.566273705402565</v>
      </c>
      <c r="F16" s="61"/>
      <c r="G16" s="61"/>
      <c r="H16" s="63">
        <f>SUM(H5:H15)</f>
        <v>974851.91183537128</v>
      </c>
      <c r="I16" s="58"/>
      <c r="J16" s="47"/>
      <c r="K16" s="58"/>
      <c r="L16" s="59" t="s">
        <v>15</v>
      </c>
      <c r="M16" s="60">
        <f>SUM(M5:M15)</f>
        <v>805.6627370540258</v>
      </c>
      <c r="N16" s="61"/>
      <c r="O16" s="62">
        <f>SUM(O5:O15)</f>
        <v>80.566273705402565</v>
      </c>
      <c r="P16" s="63">
        <f>SUM(P5:P15)</f>
        <v>703958.77754249261</v>
      </c>
      <c r="Q16" s="63">
        <f>SUM(Q5:Q15)</f>
        <v>389940.76473414846</v>
      </c>
      <c r="R16" s="119">
        <f>SUM(R5:R15)</f>
        <v>1093899.5422766414</v>
      </c>
      <c r="S16" s="47"/>
      <c r="T16" s="4"/>
      <c r="U16" s="4"/>
      <c r="V16" s="4"/>
      <c r="W16" s="4"/>
      <c r="X16" s="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3"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x14ac:dyDescent="0.3">
      <c r="C18" s="116"/>
      <c r="D18" s="1"/>
      <c r="E18" s="1"/>
      <c r="F18" s="1"/>
      <c r="G18" s="1"/>
      <c r="H18" s="1"/>
      <c r="M18" s="1"/>
      <c r="N18" s="1"/>
      <c r="O18" s="1"/>
      <c r="T18" s="4"/>
      <c r="U18" s="4"/>
      <c r="V18" s="4"/>
      <c r="W18" s="4"/>
      <c r="X18" s="4"/>
    </row>
    <row r="19" spans="1:40" x14ac:dyDescent="0.3">
      <c r="B19" s="1"/>
      <c r="C19" s="117">
        <f>H16/C16</f>
        <v>1210</v>
      </c>
      <c r="D19" s="2"/>
      <c r="E19" s="2"/>
      <c r="F19" s="2"/>
      <c r="G19" s="2"/>
      <c r="H19" s="2"/>
      <c r="L19" s="1"/>
      <c r="M19" s="1"/>
      <c r="N19" s="2"/>
      <c r="O19" s="2"/>
      <c r="Q19" s="117">
        <f>R16/C16</f>
        <v>1357.7636050000003</v>
      </c>
      <c r="T19" s="4"/>
      <c r="U19" s="4"/>
      <c r="V19" s="4"/>
      <c r="W19" s="4"/>
      <c r="X19" s="4"/>
      <c r="Y19" s="24"/>
      <c r="Z19" s="24"/>
      <c r="AA19" s="24"/>
    </row>
    <row r="20" spans="1:40" x14ac:dyDescent="0.3">
      <c r="B20" s="1"/>
      <c r="C20" s="2"/>
      <c r="D20" s="2"/>
      <c r="E20" s="2"/>
      <c r="F20" s="2"/>
      <c r="G20" s="2"/>
      <c r="H20" s="2"/>
      <c r="L20" s="1"/>
      <c r="M20" s="2"/>
      <c r="N20" s="2"/>
      <c r="O20" s="2"/>
      <c r="Q20" s="83"/>
      <c r="T20" s="4"/>
      <c r="U20" s="4"/>
      <c r="V20" s="4"/>
      <c r="W20" s="4"/>
      <c r="X20" s="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3">
      <c r="B21" s="25"/>
      <c r="L21" s="25"/>
      <c r="U21" s="4"/>
      <c r="V21" s="4"/>
      <c r="W21" s="4"/>
      <c r="X21" s="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3">
      <c r="B22" s="114" t="s">
        <v>35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x14ac:dyDescent="0.3">
      <c r="A23" s="24"/>
      <c r="B23" s="115">
        <f>B25+B26+B27</f>
        <v>3976364.9583747992</v>
      </c>
      <c r="C23" s="1"/>
      <c r="D23" s="1"/>
      <c r="E23" s="1"/>
      <c r="F23" s="1"/>
      <c r="G23" s="1"/>
      <c r="H23" s="1"/>
      <c r="K23" s="24"/>
      <c r="M23" s="1"/>
      <c r="N23" s="1"/>
      <c r="O23" s="1"/>
    </row>
    <row r="24" spans="1:40" x14ac:dyDescent="0.3">
      <c r="B24" s="1"/>
      <c r="C24" s="2"/>
      <c r="D24" s="2"/>
      <c r="E24" s="2"/>
      <c r="F24" s="2"/>
      <c r="G24" s="2"/>
      <c r="H24" s="2"/>
      <c r="L24" s="1"/>
      <c r="M24" s="2"/>
      <c r="N24" s="2"/>
      <c r="O24" s="2"/>
    </row>
    <row r="25" spans="1:40" x14ac:dyDescent="0.3">
      <c r="B25" s="92">
        <f>R16</f>
        <v>1093899.5422766414</v>
      </c>
      <c r="C25" s="118" t="s">
        <v>131</v>
      </c>
      <c r="D25" s="2"/>
      <c r="E25" s="2"/>
      <c r="F25" s="2"/>
      <c r="G25" s="2"/>
      <c r="H25" s="2"/>
      <c r="L25" s="1"/>
      <c r="M25" s="2"/>
      <c r="N25" s="2"/>
      <c r="O25" s="2"/>
    </row>
    <row r="26" spans="1:40" x14ac:dyDescent="0.3">
      <c r="B26" s="92">
        <f>'ISOLAMENTO TUB'!AF11</f>
        <v>222897.36324735006</v>
      </c>
      <c r="C26" s="118" t="s">
        <v>132</v>
      </c>
      <c r="L26" s="25"/>
    </row>
    <row r="27" spans="1:40" x14ac:dyDescent="0.3">
      <c r="B27" s="92">
        <f>REFRATÁRIO!AC18</f>
        <v>2659568.0528508076</v>
      </c>
      <c r="C27" s="11" t="s">
        <v>133</v>
      </c>
    </row>
    <row r="28" spans="1:40" x14ac:dyDescent="0.3">
      <c r="A28" s="24"/>
      <c r="C28" s="1"/>
      <c r="D28" s="1"/>
      <c r="E28" s="1"/>
      <c r="F28" s="1"/>
      <c r="G28" s="1"/>
      <c r="H28" s="1"/>
      <c r="K28" s="24"/>
      <c r="M28" s="1"/>
      <c r="N28" s="1"/>
      <c r="O28" s="1"/>
    </row>
    <row r="29" spans="1:40" x14ac:dyDescent="0.3">
      <c r="B29" s="1"/>
      <c r="C29" s="2"/>
      <c r="D29" s="2"/>
      <c r="E29" s="2"/>
      <c r="F29" s="2"/>
      <c r="G29" s="2"/>
      <c r="H29" s="2"/>
      <c r="L29" s="1"/>
      <c r="M29" s="2"/>
      <c r="N29" s="2"/>
      <c r="O29" s="2"/>
    </row>
    <row r="30" spans="1:40" x14ac:dyDescent="0.3">
      <c r="B30" s="1"/>
      <c r="C30" s="2"/>
      <c r="D30" s="2"/>
      <c r="E30" s="2"/>
      <c r="F30" s="2"/>
      <c r="G30" s="2"/>
      <c r="H30" s="2"/>
      <c r="L30" s="1"/>
      <c r="M30" s="2"/>
      <c r="N30" s="2"/>
      <c r="O30" s="2"/>
    </row>
    <row r="31" spans="1:40" x14ac:dyDescent="0.3">
      <c r="B31" s="25"/>
      <c r="L31" s="25"/>
    </row>
  </sheetData>
  <pageMargins left="0.51181102362204722" right="0.51181102362204722" top="0.78740157480314965" bottom="0.78740157480314965" header="0.31496062992125984" footer="0.31496062992125984"/>
  <pageSetup paperSize="9" scale="26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6870-67F0-4775-8C9C-FFF8802F23BB}">
  <sheetPr>
    <pageSetUpPr fitToPage="1"/>
  </sheetPr>
  <dimension ref="A1:BG26"/>
  <sheetViews>
    <sheetView showGridLines="0" topLeftCell="S1" zoomScaleNormal="100" workbookViewId="0">
      <selection activeCell="AD13" sqref="AD13"/>
    </sheetView>
  </sheetViews>
  <sheetFormatPr defaultRowHeight="14.4" x14ac:dyDescent="0.3"/>
  <cols>
    <col min="1" max="1" width="6.5546875" customWidth="1"/>
    <col min="2" max="2" width="18.21875" customWidth="1"/>
    <col min="3" max="3" width="6.5546875" customWidth="1"/>
    <col min="4" max="4" width="8" customWidth="1"/>
    <col min="5" max="5" width="6.109375" customWidth="1"/>
    <col min="6" max="6" width="8" customWidth="1"/>
    <col min="7" max="10" width="5.77734375" customWidth="1"/>
    <col min="11" max="11" width="11.33203125" customWidth="1"/>
    <col min="12" max="12" width="8.88671875" customWidth="1"/>
    <col min="13" max="13" width="17.5546875" bestFit="1" customWidth="1"/>
    <col min="14" max="14" width="18.88671875" customWidth="1"/>
    <col min="15" max="15" width="19.109375" customWidth="1"/>
    <col min="16" max="16" width="28.88671875" bestFit="1" customWidth="1"/>
    <col min="17" max="17" width="3" customWidth="1"/>
    <col min="18" max="18" width="6.5546875" customWidth="1"/>
    <col min="19" max="19" width="18.21875" customWidth="1"/>
    <col min="20" max="20" width="6.5546875" customWidth="1"/>
    <col min="21" max="21" width="8" customWidth="1"/>
    <col min="22" max="22" width="6.109375" customWidth="1"/>
    <col min="23" max="23" width="8" customWidth="1"/>
    <col min="24" max="27" width="5.77734375" customWidth="1"/>
    <col min="28" max="28" width="11.33203125" customWidth="1"/>
    <col min="29" max="29" width="8.88671875" customWidth="1"/>
    <col min="30" max="30" width="14.33203125" customWidth="1"/>
    <col min="31" max="32" width="16" customWidth="1"/>
    <col min="33" max="33" width="9.44140625" customWidth="1"/>
    <col min="35" max="35" width="9.33203125" bestFit="1" customWidth="1"/>
    <col min="36" max="38" width="9.33203125" customWidth="1"/>
    <col min="42" max="54" width="11.88671875" customWidth="1"/>
    <col min="55" max="56" width="10.33203125" bestFit="1" customWidth="1"/>
    <col min="57" max="57" width="7.88671875" customWidth="1"/>
    <col min="58" max="58" width="11.88671875" bestFit="1" customWidth="1"/>
  </cols>
  <sheetData>
    <row r="1" spans="1:59" x14ac:dyDescent="0.3">
      <c r="AG1" s="11"/>
      <c r="AH1" s="40" t="s">
        <v>76</v>
      </c>
      <c r="AI1" s="37" t="s">
        <v>77</v>
      </c>
      <c r="AJ1" s="38" t="s">
        <v>80</v>
      </c>
      <c r="AK1" s="40" t="s">
        <v>78</v>
      </c>
      <c r="AL1" s="37" t="s">
        <v>79</v>
      </c>
      <c r="AM1" s="38" t="s">
        <v>81</v>
      </c>
      <c r="AN1" s="40" t="s">
        <v>82</v>
      </c>
      <c r="AO1" s="37" t="s">
        <v>83</v>
      </c>
      <c r="AP1" s="38" t="s">
        <v>84</v>
      </c>
      <c r="AQ1" s="40" t="s">
        <v>85</v>
      </c>
      <c r="AR1" s="37" t="s">
        <v>86</v>
      </c>
      <c r="AS1" s="38" t="s">
        <v>87</v>
      </c>
      <c r="AT1" s="40" t="s">
        <v>88</v>
      </c>
      <c r="AU1" s="37" t="s">
        <v>89</v>
      </c>
      <c r="AV1" s="37" t="s">
        <v>90</v>
      </c>
      <c r="AW1" s="40" t="s">
        <v>92</v>
      </c>
      <c r="AX1" s="37" t="s">
        <v>94</v>
      </c>
      <c r="AY1" s="37" t="s">
        <v>93</v>
      </c>
      <c r="AZ1" s="48" t="s">
        <v>75</v>
      </c>
      <c r="BA1" s="51" t="s">
        <v>95</v>
      </c>
      <c r="BB1" s="51" t="s">
        <v>96</v>
      </c>
      <c r="BC1" s="51" t="s">
        <v>101</v>
      </c>
      <c r="BD1" s="48" t="s">
        <v>91</v>
      </c>
    </row>
    <row r="2" spans="1:59" x14ac:dyDescent="0.3">
      <c r="AG2" s="65" t="s">
        <v>99</v>
      </c>
      <c r="AH2" s="39">
        <v>2</v>
      </c>
      <c r="AI2" s="41">
        <v>52.55</v>
      </c>
      <c r="AJ2" s="43">
        <f>AH2*AI2</f>
        <v>105.1</v>
      </c>
      <c r="AK2" s="39"/>
      <c r="AL2" s="41"/>
      <c r="AM2" s="43">
        <f>AK2*AL2</f>
        <v>0</v>
      </c>
      <c r="AN2" s="39"/>
      <c r="AO2" s="41"/>
      <c r="AP2" s="43">
        <f>AN2*AO2</f>
        <v>0</v>
      </c>
      <c r="AQ2" s="39"/>
      <c r="AR2" s="41">
        <v>0.5</v>
      </c>
      <c r="AS2" s="43">
        <f>AQ2*AR2</f>
        <v>0</v>
      </c>
      <c r="AT2" s="39">
        <v>3.6</v>
      </c>
      <c r="AU2" s="41">
        <f>35.5*1.325</f>
        <v>47.037500000000001</v>
      </c>
      <c r="AV2" s="43">
        <f>AT2*AU2</f>
        <v>169.33500000000001</v>
      </c>
      <c r="AW2" s="67">
        <v>12</v>
      </c>
      <c r="AX2" s="42">
        <v>0.18</v>
      </c>
      <c r="AY2" s="68">
        <f>AW2*AX2</f>
        <v>2.16</v>
      </c>
      <c r="AZ2" s="49">
        <f>AJ2+AM2+AP2+AS2+AV2+AY2</f>
        <v>276.59500000000003</v>
      </c>
      <c r="BA2" s="49">
        <f>0.15*AZ2</f>
        <v>41.489250000000006</v>
      </c>
      <c r="BB2" s="49">
        <f>0.2*AZ2</f>
        <v>55.31900000000001</v>
      </c>
      <c r="BC2" s="50">
        <v>1.17</v>
      </c>
      <c r="BD2" s="52">
        <f>(AZ2+BA2+BB2)*BC2</f>
        <v>436.88180250000005</v>
      </c>
      <c r="BE2" t="s">
        <v>52</v>
      </c>
      <c r="BF2" s="52">
        <f>BD2/0.05</f>
        <v>8737.636050000001</v>
      </c>
      <c r="BG2" t="s">
        <v>51</v>
      </c>
    </row>
    <row r="3" spans="1:59" ht="30.6" customHeight="1" x14ac:dyDescent="0.3">
      <c r="G3" s="122">
        <f>X3</f>
        <v>2</v>
      </c>
      <c r="H3" s="122">
        <f t="shared" ref="H3:J3" si="0">Y3</f>
        <v>1.5</v>
      </c>
      <c r="I3" s="122">
        <f t="shared" si="0"/>
        <v>2</v>
      </c>
      <c r="J3" s="122">
        <f t="shared" si="0"/>
        <v>2.5</v>
      </c>
      <c r="T3" s="121"/>
      <c r="U3" s="121"/>
      <c r="V3" s="121"/>
      <c r="W3" s="121"/>
      <c r="X3" s="122">
        <v>2</v>
      </c>
      <c r="Y3" s="122">
        <v>1.5</v>
      </c>
      <c r="Z3" s="122">
        <v>2</v>
      </c>
      <c r="AA3" s="122">
        <v>2.5</v>
      </c>
      <c r="AG3" s="66" t="s">
        <v>100</v>
      </c>
      <c r="AH3" s="39">
        <v>2</v>
      </c>
      <c r="AI3" s="41">
        <v>52.55</v>
      </c>
      <c r="AJ3" s="43">
        <f>AH3*AI3</f>
        <v>105.1</v>
      </c>
      <c r="AK3" s="39"/>
      <c r="AL3" s="41"/>
      <c r="AM3" s="43">
        <f>AK3*AL3</f>
        <v>0</v>
      </c>
      <c r="AN3" s="39">
        <v>3</v>
      </c>
      <c r="AO3" s="41">
        <v>1.05</v>
      </c>
      <c r="AP3" s="43">
        <f>AN3*AO3</f>
        <v>3.1500000000000004</v>
      </c>
      <c r="AQ3" s="39">
        <v>3</v>
      </c>
      <c r="AR3" s="41">
        <v>0.5</v>
      </c>
      <c r="AS3" s="43">
        <f>AQ3*AR3</f>
        <v>1.5</v>
      </c>
      <c r="AT3" s="39">
        <v>3.6</v>
      </c>
      <c r="AU3" s="41">
        <f>35.5*1.325</f>
        <v>47.037500000000001</v>
      </c>
      <c r="AV3" s="44">
        <f>AT3*AU3</f>
        <v>169.33500000000001</v>
      </c>
      <c r="AW3" s="69">
        <v>12</v>
      </c>
      <c r="AX3" s="70">
        <v>0.18</v>
      </c>
      <c r="AY3" s="71">
        <f>AW3*AX3</f>
        <v>2.16</v>
      </c>
      <c r="AZ3" s="49">
        <f>AJ3+AM3+AP3+AS3+AV3+AY3</f>
        <v>281.24500000000006</v>
      </c>
      <c r="BA3" s="49">
        <f>0.15*AZ3</f>
        <v>42.186750000000011</v>
      </c>
      <c r="BB3" s="49">
        <f>0.2*AZ3</f>
        <v>56.249000000000017</v>
      </c>
      <c r="BC3" s="50">
        <v>1.17</v>
      </c>
      <c r="BD3" s="52">
        <f>(AZ3+BA3+BB3)*BC3</f>
        <v>444.2264775000001</v>
      </c>
      <c r="BE3" t="s">
        <v>52</v>
      </c>
      <c r="BF3" s="52">
        <f>BD3/0.05</f>
        <v>8884.5295500000011</v>
      </c>
      <c r="BG3" t="s">
        <v>51</v>
      </c>
    </row>
    <row r="4" spans="1:59" s="24" customFormat="1" ht="28.8" customHeight="1" x14ac:dyDescent="0.3">
      <c r="A4" s="53" t="s">
        <v>25</v>
      </c>
      <c r="B4" s="53" t="s">
        <v>26</v>
      </c>
      <c r="C4" s="53" t="s">
        <v>113</v>
      </c>
      <c r="D4" s="53" t="s">
        <v>114</v>
      </c>
      <c r="E4" s="53" t="s">
        <v>126</v>
      </c>
      <c r="F4" s="53" t="s">
        <v>118</v>
      </c>
      <c r="G4" s="53" t="s">
        <v>119</v>
      </c>
      <c r="H4" s="53" t="s">
        <v>125</v>
      </c>
      <c r="I4" s="53" t="s">
        <v>120</v>
      </c>
      <c r="J4" s="53" t="s">
        <v>121</v>
      </c>
      <c r="K4" s="53" t="s">
        <v>16</v>
      </c>
      <c r="L4" s="53" t="s">
        <v>28</v>
      </c>
      <c r="M4" s="53" t="s">
        <v>62</v>
      </c>
      <c r="N4" s="53" t="s">
        <v>34</v>
      </c>
      <c r="O4" s="53" t="s">
        <v>35</v>
      </c>
      <c r="P4" s="53" t="s">
        <v>24</v>
      </c>
      <c r="Q4" s="45"/>
      <c r="R4" s="53" t="s">
        <v>25</v>
      </c>
      <c r="S4" s="53" t="s">
        <v>26</v>
      </c>
      <c r="T4" s="53" t="s">
        <v>113</v>
      </c>
      <c r="U4" s="53" t="s">
        <v>114</v>
      </c>
      <c r="V4" s="53" t="s">
        <v>126</v>
      </c>
      <c r="W4" s="53" t="s">
        <v>118</v>
      </c>
      <c r="X4" s="53" t="s">
        <v>119</v>
      </c>
      <c r="Y4" s="53" t="s">
        <v>125</v>
      </c>
      <c r="Z4" s="53" t="s">
        <v>120</v>
      </c>
      <c r="AA4" s="53" t="s">
        <v>121</v>
      </c>
      <c r="AB4" s="53" t="s">
        <v>16</v>
      </c>
      <c r="AC4" s="53" t="s">
        <v>28</v>
      </c>
      <c r="AD4" s="89" t="s">
        <v>98</v>
      </c>
      <c r="AE4" s="90" t="s">
        <v>97</v>
      </c>
      <c r="AF4" s="91" t="s">
        <v>15</v>
      </c>
    </row>
    <row r="5" spans="1:59" ht="19.95" customHeight="1" x14ac:dyDescent="0.3">
      <c r="A5" s="12">
        <v>1</v>
      </c>
      <c r="B5" s="12" t="s">
        <v>115</v>
      </c>
      <c r="C5" s="12">
        <v>2</v>
      </c>
      <c r="D5" s="12">
        <v>38</v>
      </c>
      <c r="E5" s="12">
        <v>0.46</v>
      </c>
      <c r="F5" s="12">
        <v>25</v>
      </c>
      <c r="G5" s="12">
        <v>20</v>
      </c>
      <c r="H5" s="12"/>
      <c r="I5" s="12"/>
      <c r="J5" s="12"/>
      <c r="K5" s="54">
        <f>(E5*F5)+(G5*$G$3)+(H5*$H$3)+(I5*$I$3)+(J5*$J$3)</f>
        <v>51.5</v>
      </c>
      <c r="L5" s="54">
        <f>K5*(D5/1000)</f>
        <v>1.9569999999999999</v>
      </c>
      <c r="M5" s="54" t="s">
        <v>63</v>
      </c>
      <c r="N5" s="55">
        <f>1300+11498</f>
        <v>12798</v>
      </c>
      <c r="O5" s="55">
        <f>L5*N5</f>
        <v>25045.685999999998</v>
      </c>
      <c r="P5" s="33" t="s">
        <v>69</v>
      </c>
      <c r="Q5" s="46"/>
      <c r="R5" s="12">
        <v>1</v>
      </c>
      <c r="S5" s="12" t="s">
        <v>115</v>
      </c>
      <c r="T5" s="12">
        <v>2</v>
      </c>
      <c r="U5" s="12">
        <v>38</v>
      </c>
      <c r="V5" s="12">
        <v>0.46</v>
      </c>
      <c r="W5" s="12">
        <v>25</v>
      </c>
      <c r="X5" s="12">
        <v>20</v>
      </c>
      <c r="Y5" s="12"/>
      <c r="Z5" s="12"/>
      <c r="AA5" s="12"/>
      <c r="AB5" s="54">
        <f>(V5*W5)+(X5*$G$3)+(Y5*$H$3)+(Z5*$I$3)+(AA5*$J$3)</f>
        <v>51.5</v>
      </c>
      <c r="AC5" s="54">
        <f>AB5*(U5/1000)</f>
        <v>1.9569999999999999</v>
      </c>
      <c r="AD5" s="84">
        <f>L5*$BF$3</f>
        <v>17387.024329350003</v>
      </c>
      <c r="AE5" s="88">
        <f>0.4*N5*L5</f>
        <v>10018.2744</v>
      </c>
      <c r="AF5" s="85">
        <f>AD5+AE5</f>
        <v>27405.298729350005</v>
      </c>
      <c r="AG5" s="42"/>
    </row>
    <row r="6" spans="1:59" ht="19.95" customHeight="1" x14ac:dyDescent="0.3">
      <c r="A6" s="12">
        <v>2</v>
      </c>
      <c r="B6" s="12" t="s">
        <v>116</v>
      </c>
      <c r="C6" s="12">
        <v>3</v>
      </c>
      <c r="D6" s="12">
        <v>38</v>
      </c>
      <c r="E6" s="12">
        <v>0.55000000000000004</v>
      </c>
      <c r="F6" s="12">
        <v>20</v>
      </c>
      <c r="G6" s="12">
        <v>12</v>
      </c>
      <c r="H6" s="12"/>
      <c r="I6" s="12"/>
      <c r="J6" s="12"/>
      <c r="K6" s="54">
        <f t="shared" ref="K6:K10" si="1">(E6*F6)+(G6*$G$3)+(H6*$H$3)+(I6*$I$3)+(J6*$J$3)</f>
        <v>35</v>
      </c>
      <c r="L6" s="54">
        <f t="shared" ref="L6:L10" si="2">K6*(D6/1000)</f>
        <v>1.33</v>
      </c>
      <c r="M6" s="54" t="s">
        <v>63</v>
      </c>
      <c r="N6" s="55">
        <f t="shared" ref="N6:N10" si="3">1300+11498</f>
        <v>12798</v>
      </c>
      <c r="O6" s="55">
        <f t="shared" ref="O6:O10" si="4">L6*N6</f>
        <v>17021.34</v>
      </c>
      <c r="P6" s="33" t="s">
        <v>69</v>
      </c>
      <c r="Q6" s="46"/>
      <c r="R6" s="12">
        <v>2</v>
      </c>
      <c r="S6" s="12" t="s">
        <v>116</v>
      </c>
      <c r="T6" s="12">
        <v>3</v>
      </c>
      <c r="U6" s="12">
        <v>38</v>
      </c>
      <c r="V6" s="12">
        <v>0.55000000000000004</v>
      </c>
      <c r="W6" s="12">
        <v>20</v>
      </c>
      <c r="X6" s="12">
        <v>12</v>
      </c>
      <c r="Y6" s="12"/>
      <c r="Z6" s="12"/>
      <c r="AA6" s="12"/>
      <c r="AB6" s="54">
        <f t="shared" ref="AB6:AB10" si="5">(V6*W6)+(X6*$G$3)+(Y6*$H$3)+(Z6*$I$3)+(AA6*$J$3)</f>
        <v>35</v>
      </c>
      <c r="AC6" s="54">
        <f t="shared" ref="AC6:AC10" si="6">AB6*(U6/1000)</f>
        <v>1.33</v>
      </c>
      <c r="AD6" s="86">
        <f t="shared" ref="AD6:AD10" si="7">L6*$BF$3</f>
        <v>11816.424301500003</v>
      </c>
      <c r="AE6" s="88">
        <f t="shared" ref="AE6:AE10" si="8">0.4*N6*L6</f>
        <v>6808.536000000001</v>
      </c>
      <c r="AF6" s="85">
        <f t="shared" ref="AF6:AF10" si="9">AD6+AE6</f>
        <v>18624.960301500003</v>
      </c>
      <c r="AG6" s="42"/>
      <c r="AM6" s="24"/>
      <c r="AN6" s="24"/>
      <c r="AO6" s="24"/>
    </row>
    <row r="7" spans="1:59" ht="19.95" customHeight="1" x14ac:dyDescent="0.3">
      <c r="A7" s="12">
        <v>3</v>
      </c>
      <c r="B7" s="12" t="s">
        <v>117</v>
      </c>
      <c r="C7" s="12">
        <v>4</v>
      </c>
      <c r="D7" s="12">
        <v>50</v>
      </c>
      <c r="E7" s="12">
        <v>0.71</v>
      </c>
      <c r="F7" s="12">
        <v>70</v>
      </c>
      <c r="G7" s="12">
        <v>19</v>
      </c>
      <c r="H7" s="12"/>
      <c r="I7" s="12"/>
      <c r="J7" s="12"/>
      <c r="K7" s="54">
        <f t="shared" si="1"/>
        <v>87.699999999999989</v>
      </c>
      <c r="L7" s="54">
        <f t="shared" si="2"/>
        <v>4.3849999999999998</v>
      </c>
      <c r="M7" s="54" t="s">
        <v>63</v>
      </c>
      <c r="N7" s="55">
        <f t="shared" si="3"/>
        <v>12798</v>
      </c>
      <c r="O7" s="55">
        <f t="shared" si="4"/>
        <v>56119.229999999996</v>
      </c>
      <c r="P7" s="33" t="s">
        <v>69</v>
      </c>
      <c r="Q7" s="46"/>
      <c r="R7" s="12">
        <v>3</v>
      </c>
      <c r="S7" s="12" t="s">
        <v>117</v>
      </c>
      <c r="T7" s="12">
        <v>4</v>
      </c>
      <c r="U7" s="12">
        <v>50</v>
      </c>
      <c r="V7" s="12">
        <v>0.71</v>
      </c>
      <c r="W7" s="12">
        <v>70</v>
      </c>
      <c r="X7" s="12">
        <v>19</v>
      </c>
      <c r="Y7" s="12"/>
      <c r="Z7" s="12"/>
      <c r="AA7" s="12"/>
      <c r="AB7" s="54">
        <f t="shared" si="5"/>
        <v>87.699999999999989</v>
      </c>
      <c r="AC7" s="54">
        <f t="shared" si="6"/>
        <v>4.3849999999999998</v>
      </c>
      <c r="AD7" s="86">
        <f t="shared" si="7"/>
        <v>38958.662076750006</v>
      </c>
      <c r="AE7" s="88">
        <f t="shared" si="8"/>
        <v>22447.692000000003</v>
      </c>
      <c r="AF7" s="85">
        <f t="shared" si="9"/>
        <v>61406.354076750009</v>
      </c>
      <c r="AG7" s="42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D7" s="36"/>
    </row>
    <row r="8" spans="1:59" ht="19.95" customHeight="1" x14ac:dyDescent="0.3">
      <c r="A8" s="12">
        <v>4</v>
      </c>
      <c r="B8" s="12" t="s">
        <v>122</v>
      </c>
      <c r="C8" s="12">
        <v>6</v>
      </c>
      <c r="D8" s="12">
        <v>50</v>
      </c>
      <c r="E8" s="12">
        <v>0.8</v>
      </c>
      <c r="F8" s="12">
        <v>20</v>
      </c>
      <c r="G8" s="12">
        <v>1</v>
      </c>
      <c r="H8" s="12">
        <v>1</v>
      </c>
      <c r="I8" s="12"/>
      <c r="J8" s="12"/>
      <c r="K8" s="54">
        <f t="shared" si="1"/>
        <v>19.5</v>
      </c>
      <c r="L8" s="54">
        <f t="shared" si="2"/>
        <v>0.97500000000000009</v>
      </c>
      <c r="M8" s="54" t="s">
        <v>63</v>
      </c>
      <c r="N8" s="55">
        <f t="shared" si="3"/>
        <v>12798</v>
      </c>
      <c r="O8" s="55">
        <f t="shared" si="4"/>
        <v>12478.050000000001</v>
      </c>
      <c r="P8" s="33" t="s">
        <v>69</v>
      </c>
      <c r="Q8" s="46"/>
      <c r="R8" s="12">
        <v>4</v>
      </c>
      <c r="S8" s="12" t="s">
        <v>122</v>
      </c>
      <c r="T8" s="12">
        <v>6</v>
      </c>
      <c r="U8" s="12">
        <v>50</v>
      </c>
      <c r="V8" s="12">
        <v>0.8</v>
      </c>
      <c r="W8" s="12">
        <v>20</v>
      </c>
      <c r="X8" s="12">
        <v>1</v>
      </c>
      <c r="Y8" s="12">
        <v>1</v>
      </c>
      <c r="Z8" s="12"/>
      <c r="AA8" s="12"/>
      <c r="AB8" s="54">
        <f t="shared" si="5"/>
        <v>19.5</v>
      </c>
      <c r="AC8" s="54">
        <f t="shared" si="6"/>
        <v>0.97500000000000009</v>
      </c>
      <c r="AD8" s="86">
        <f t="shared" si="7"/>
        <v>8662.4163112500028</v>
      </c>
      <c r="AE8" s="88">
        <f t="shared" si="8"/>
        <v>4991.2200000000012</v>
      </c>
      <c r="AF8" s="85">
        <f t="shared" si="9"/>
        <v>13653.636311250004</v>
      </c>
      <c r="AG8" s="42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9" ht="19.95" customHeight="1" x14ac:dyDescent="0.3">
      <c r="A9" s="12">
        <v>5</v>
      </c>
      <c r="B9" s="12" t="s">
        <v>123</v>
      </c>
      <c r="C9" s="12">
        <v>10</v>
      </c>
      <c r="D9" s="12">
        <v>100</v>
      </c>
      <c r="E9" s="12">
        <v>1.52</v>
      </c>
      <c r="F9" s="12">
        <v>20</v>
      </c>
      <c r="G9" s="12">
        <v>2</v>
      </c>
      <c r="H9" s="12"/>
      <c r="I9" s="12"/>
      <c r="J9" s="12">
        <v>3</v>
      </c>
      <c r="K9" s="54">
        <f t="shared" si="1"/>
        <v>41.9</v>
      </c>
      <c r="L9" s="54">
        <f t="shared" si="2"/>
        <v>4.1900000000000004</v>
      </c>
      <c r="M9" s="54" t="s">
        <v>63</v>
      </c>
      <c r="N9" s="55">
        <f t="shared" si="3"/>
        <v>12798</v>
      </c>
      <c r="O9" s="55">
        <f t="shared" si="4"/>
        <v>53623.62</v>
      </c>
      <c r="P9" s="33" t="s">
        <v>69</v>
      </c>
      <c r="Q9" s="46"/>
      <c r="R9" s="12">
        <v>5</v>
      </c>
      <c r="S9" s="12" t="s">
        <v>123</v>
      </c>
      <c r="T9" s="12">
        <v>10</v>
      </c>
      <c r="U9" s="12">
        <v>100</v>
      </c>
      <c r="V9" s="12">
        <v>1.52</v>
      </c>
      <c r="W9" s="12">
        <v>20</v>
      </c>
      <c r="X9" s="12">
        <v>2</v>
      </c>
      <c r="Y9" s="12"/>
      <c r="Z9" s="12"/>
      <c r="AA9" s="12">
        <v>3</v>
      </c>
      <c r="AB9" s="54">
        <f t="shared" si="5"/>
        <v>41.9</v>
      </c>
      <c r="AC9" s="54">
        <f t="shared" si="6"/>
        <v>4.1900000000000004</v>
      </c>
      <c r="AD9" s="86">
        <f t="shared" si="7"/>
        <v>37226.17881450001</v>
      </c>
      <c r="AE9" s="88">
        <f t="shared" si="8"/>
        <v>21449.448000000004</v>
      </c>
      <c r="AF9" s="85">
        <f t="shared" si="9"/>
        <v>58675.626814500014</v>
      </c>
      <c r="AG9" s="42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9" ht="19.95" customHeight="1" x14ac:dyDescent="0.3">
      <c r="A10" s="12">
        <v>6</v>
      </c>
      <c r="B10" s="12" t="s">
        <v>124</v>
      </c>
      <c r="C10" s="12">
        <v>12</v>
      </c>
      <c r="D10" s="12">
        <v>100</v>
      </c>
      <c r="E10" s="12">
        <v>1.68</v>
      </c>
      <c r="F10" s="12">
        <v>10</v>
      </c>
      <c r="G10" s="12">
        <v>7</v>
      </c>
      <c r="H10" s="12"/>
      <c r="I10" s="12"/>
      <c r="J10" s="12"/>
      <c r="K10" s="54">
        <f t="shared" si="1"/>
        <v>30.8</v>
      </c>
      <c r="L10" s="54">
        <f t="shared" si="2"/>
        <v>3.08</v>
      </c>
      <c r="M10" s="54" t="s">
        <v>63</v>
      </c>
      <c r="N10" s="55">
        <f t="shared" si="3"/>
        <v>12798</v>
      </c>
      <c r="O10" s="55">
        <f t="shared" si="4"/>
        <v>39417.840000000004</v>
      </c>
      <c r="P10" s="33" t="s">
        <v>69</v>
      </c>
      <c r="Q10" s="46"/>
      <c r="R10" s="12">
        <v>6</v>
      </c>
      <c r="S10" s="12" t="s">
        <v>124</v>
      </c>
      <c r="T10" s="12">
        <v>12</v>
      </c>
      <c r="U10" s="12">
        <v>100</v>
      </c>
      <c r="V10" s="12">
        <v>1.68</v>
      </c>
      <c r="W10" s="12">
        <v>10</v>
      </c>
      <c r="X10" s="12">
        <v>7</v>
      </c>
      <c r="Y10" s="12"/>
      <c r="Z10" s="12"/>
      <c r="AA10" s="12"/>
      <c r="AB10" s="54">
        <f t="shared" si="5"/>
        <v>30.8</v>
      </c>
      <c r="AC10" s="54">
        <f t="shared" si="6"/>
        <v>3.08</v>
      </c>
      <c r="AD10" s="87">
        <f t="shared" si="7"/>
        <v>27364.351014000003</v>
      </c>
      <c r="AE10" s="88">
        <f t="shared" si="8"/>
        <v>15767.136000000002</v>
      </c>
      <c r="AF10" s="85">
        <f t="shared" si="9"/>
        <v>43131.487014000006</v>
      </c>
      <c r="AG10" s="42"/>
    </row>
    <row r="11" spans="1:59" ht="19.2" customHeight="1" x14ac:dyDescent="0.3">
      <c r="A11" s="58"/>
      <c r="B11" s="59" t="s">
        <v>15</v>
      </c>
      <c r="C11" s="81"/>
      <c r="D11" s="81"/>
      <c r="E11" s="81"/>
      <c r="F11" s="81"/>
      <c r="G11" s="81"/>
      <c r="H11" s="81"/>
      <c r="I11" s="81"/>
      <c r="J11" s="81"/>
      <c r="K11" s="60">
        <f>SUM(K5:K10)</f>
        <v>266.39999999999998</v>
      </c>
      <c r="L11" s="82">
        <f>SUM(L5:L10)</f>
        <v>15.917</v>
      </c>
      <c r="M11" s="61"/>
      <c r="N11" s="61"/>
      <c r="O11" s="63">
        <f>SUM(O5:O10)</f>
        <v>203705.766</v>
      </c>
      <c r="P11" s="58"/>
      <c r="Q11" s="47"/>
      <c r="R11" s="58"/>
      <c r="S11" s="59" t="s">
        <v>15</v>
      </c>
      <c r="T11" s="81"/>
      <c r="U11" s="81"/>
      <c r="V11" s="81"/>
      <c r="W11" s="81"/>
      <c r="X11" s="81"/>
      <c r="Y11" s="81"/>
      <c r="Z11" s="81"/>
      <c r="AA11" s="81"/>
      <c r="AB11" s="60">
        <f>SUM(AB5:AB10)</f>
        <v>266.39999999999998</v>
      </c>
      <c r="AC11" s="82">
        <f>SUM(AC5:AC10)</f>
        <v>15.917</v>
      </c>
      <c r="AD11" s="63">
        <f>SUM(AD5:AD10)</f>
        <v>141415.05684735006</v>
      </c>
      <c r="AE11" s="63">
        <f>SUM(AE5:AE10)</f>
        <v>81482.306400000001</v>
      </c>
      <c r="AF11" s="119">
        <f>SUM(AF5:AF10)</f>
        <v>222897.36324735006</v>
      </c>
      <c r="AG11" s="47"/>
      <c r="AH11" s="4"/>
      <c r="AI11" s="4"/>
      <c r="AJ11" s="4"/>
      <c r="AK11" s="4"/>
      <c r="AL11" s="4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9" x14ac:dyDescent="0.3">
      <c r="O12" s="92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9" x14ac:dyDescent="0.3">
      <c r="K13" s="1"/>
      <c r="L13" s="1"/>
      <c r="M13" s="1"/>
      <c r="N13" s="1"/>
      <c r="O13" s="1"/>
      <c r="AB13" s="1"/>
      <c r="AC13" s="1"/>
      <c r="AD13" s="83"/>
      <c r="AH13" s="4"/>
      <c r="AI13" s="4"/>
      <c r="AJ13" s="4"/>
      <c r="AK13" s="4"/>
      <c r="AL13" s="4"/>
    </row>
    <row r="14" spans="1:59" x14ac:dyDescent="0.3">
      <c r="B14" s="1"/>
      <c r="C14" s="1"/>
      <c r="D14" s="1"/>
      <c r="E14" s="1"/>
      <c r="F14" s="1"/>
      <c r="G14" s="1"/>
      <c r="H14" s="1"/>
      <c r="I14" s="1"/>
      <c r="J14" s="1"/>
      <c r="K14" s="117">
        <f>O11/K11</f>
        <v>764.66128378378392</v>
      </c>
      <c r="L14" s="2"/>
      <c r="M14" s="2"/>
      <c r="N14" s="2"/>
      <c r="O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E14" s="117">
        <f>AF11/K11</f>
        <v>836.70181399155433</v>
      </c>
      <c r="AH14" s="4"/>
      <c r="AI14" s="4"/>
      <c r="AJ14" s="4"/>
      <c r="AK14" s="4"/>
      <c r="AL14" s="4"/>
      <c r="AM14" s="24"/>
      <c r="AN14" s="24"/>
      <c r="AO14" s="24"/>
    </row>
    <row r="15" spans="1:59" x14ac:dyDescent="0.3"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2"/>
      <c r="N15" s="2"/>
      <c r="O15" s="2"/>
      <c r="S15" s="1"/>
      <c r="T15" s="1"/>
      <c r="U15" s="1"/>
      <c r="V15" s="1"/>
      <c r="W15" s="1"/>
      <c r="X15" s="1"/>
      <c r="Y15" s="1"/>
      <c r="Z15" s="1"/>
      <c r="AA15" s="1"/>
      <c r="AB15" s="2"/>
      <c r="AC15" s="2"/>
      <c r="AD15" s="83"/>
      <c r="AH15" s="4"/>
      <c r="AI15" s="4"/>
      <c r="AJ15" s="4"/>
      <c r="AK15" s="4"/>
      <c r="AL15" s="4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9" x14ac:dyDescent="0.3">
      <c r="B16" s="25"/>
      <c r="C16" s="25"/>
      <c r="D16" s="25"/>
      <c r="E16" s="25"/>
      <c r="F16" s="25"/>
      <c r="G16" s="25"/>
      <c r="H16" s="25"/>
      <c r="I16" s="25"/>
      <c r="J16" s="25"/>
      <c r="S16" s="25"/>
      <c r="T16" s="25"/>
      <c r="U16" s="25"/>
      <c r="V16" s="25"/>
      <c r="W16" s="25"/>
      <c r="X16" s="25"/>
      <c r="Y16" s="25"/>
      <c r="Z16" s="25"/>
      <c r="AA16" s="25"/>
      <c r="AI16" s="4"/>
      <c r="AJ16" s="4"/>
      <c r="AK16" s="4"/>
      <c r="AL16" s="4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x14ac:dyDescent="0.3"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x14ac:dyDescent="0.3">
      <c r="A18" s="24"/>
      <c r="K18" s="1"/>
      <c r="L18" s="1"/>
      <c r="M18" s="1"/>
      <c r="N18" s="1"/>
      <c r="O18" s="1"/>
      <c r="R18" s="24"/>
      <c r="AB18" s="1"/>
      <c r="AC18" s="1"/>
    </row>
    <row r="19" spans="1:54" x14ac:dyDescent="0.3"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</row>
    <row r="20" spans="1:54" x14ac:dyDescent="0.3"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S20" s="1"/>
      <c r="T20" s="1"/>
      <c r="U20" s="1"/>
      <c r="V20" s="1"/>
      <c r="W20" s="1"/>
      <c r="X20" s="1"/>
      <c r="Y20" s="1"/>
      <c r="Z20" s="1"/>
      <c r="AA20" s="1"/>
      <c r="AB20" s="2"/>
      <c r="AC20" s="2"/>
    </row>
    <row r="21" spans="1:54" x14ac:dyDescent="0.3">
      <c r="B21" s="25"/>
      <c r="C21" s="25"/>
      <c r="D21" s="25"/>
      <c r="E21" s="25"/>
      <c r="F21" s="25"/>
      <c r="G21" s="25"/>
      <c r="H21" s="25"/>
      <c r="I21" s="25"/>
      <c r="J21" s="25"/>
      <c r="S21" s="25"/>
      <c r="T21" s="25"/>
      <c r="U21" s="25"/>
      <c r="V21" s="25"/>
      <c r="W21" s="25"/>
      <c r="X21" s="25"/>
      <c r="Y21" s="25"/>
      <c r="Z21" s="25"/>
      <c r="AA21" s="25"/>
    </row>
    <row r="23" spans="1:54" x14ac:dyDescent="0.3">
      <c r="A23" s="24"/>
      <c r="K23" s="1"/>
      <c r="L23" s="1"/>
      <c r="M23" s="1"/>
      <c r="N23" s="1"/>
      <c r="O23" s="1"/>
      <c r="R23" s="24"/>
      <c r="AB23" s="1"/>
      <c r="AC23" s="1"/>
    </row>
    <row r="24" spans="1:54" x14ac:dyDescent="0.3"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</row>
    <row r="25" spans="1:54" x14ac:dyDescent="0.3"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</row>
    <row r="26" spans="1:54" x14ac:dyDescent="0.3">
      <c r="B26" s="25"/>
      <c r="C26" s="25"/>
      <c r="D26" s="25"/>
      <c r="E26" s="25"/>
      <c r="F26" s="25"/>
      <c r="G26" s="25"/>
      <c r="H26" s="25"/>
      <c r="I26" s="25"/>
      <c r="J26" s="25"/>
      <c r="S26" s="25"/>
      <c r="T26" s="25"/>
      <c r="U26" s="25"/>
      <c r="V26" s="25"/>
      <c r="W26" s="25"/>
      <c r="X26" s="25"/>
      <c r="Y26" s="25"/>
      <c r="Z26" s="25"/>
      <c r="AA26" s="25"/>
    </row>
  </sheetData>
  <pageMargins left="0.51181102362204722" right="0.51181102362204722" top="0.78740157480314965" bottom="0.78740157480314965" header="0.31496062992125984" footer="0.31496062992125984"/>
  <pageSetup paperSize="9" scale="2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1B650-3E19-4141-BBC7-10C2D6D6071D}">
  <sheetPr>
    <pageSetUpPr fitToPage="1"/>
  </sheetPr>
  <dimension ref="A1:AE26"/>
  <sheetViews>
    <sheetView showGridLines="0" tabSelected="1" topLeftCell="O1" zoomScale="80" zoomScaleNormal="80" workbookViewId="0">
      <selection activeCell="Z3" sqref="Z3"/>
    </sheetView>
  </sheetViews>
  <sheetFormatPr defaultRowHeight="14.4" x14ac:dyDescent="0.3"/>
  <cols>
    <col min="1" max="1" width="8.33203125" customWidth="1"/>
    <col min="2" max="2" width="55" bestFit="1" customWidth="1"/>
    <col min="3" max="3" width="10.5546875" customWidth="1"/>
    <col min="4" max="4" width="11.5546875" customWidth="1"/>
    <col min="5" max="5" width="13.5546875" customWidth="1"/>
    <col min="6" max="6" width="12.33203125" customWidth="1"/>
    <col min="7" max="7" width="13.5546875" customWidth="1"/>
    <col min="8" max="8" width="10" customWidth="1"/>
    <col min="9" max="9" width="14" customWidth="1"/>
    <col min="10" max="10" width="19.6640625" bestFit="1" customWidth="1"/>
    <col min="11" max="11" width="43.21875" hidden="1" customWidth="1"/>
    <col min="12" max="12" width="31" bestFit="1" customWidth="1"/>
    <col min="13" max="13" width="5.21875" customWidth="1"/>
    <col min="14" max="14" width="16.109375" hidden="1" customWidth="1"/>
    <col min="15" max="15" width="5.6640625" customWidth="1"/>
    <col min="16" max="16" width="8.33203125" customWidth="1"/>
    <col min="17" max="17" width="57.88671875" bestFit="1" customWidth="1"/>
    <col min="18" max="18" width="10.5546875" customWidth="1"/>
    <col min="19" max="19" width="11.5546875" customWidth="1"/>
    <col min="20" max="20" width="13.5546875" customWidth="1"/>
    <col min="21" max="21" width="12.33203125" customWidth="1"/>
    <col min="22" max="22" width="15.44140625" customWidth="1"/>
    <col min="23" max="23" width="15.21875" customWidth="1"/>
    <col min="24" max="24" width="12.44140625" customWidth="1"/>
    <col min="25" max="25" width="8" customWidth="1"/>
    <col min="26" max="26" width="9.77734375" customWidth="1"/>
    <col min="27" max="27" width="18" customWidth="1"/>
    <col min="28" max="28" width="20.44140625" bestFit="1" customWidth="1"/>
    <col min="29" max="29" width="18" customWidth="1"/>
    <col min="30" max="30" width="31" bestFit="1" customWidth="1"/>
    <col min="31" max="31" width="15.5546875" bestFit="1" customWidth="1"/>
  </cols>
  <sheetData>
    <row r="1" spans="1:31" ht="30" customHeight="1" x14ac:dyDescent="0.3">
      <c r="I1" s="24"/>
      <c r="J1" s="35"/>
    </row>
    <row r="2" spans="1:31" ht="23.4" customHeight="1" x14ac:dyDescent="0.3">
      <c r="A2" s="20" t="s">
        <v>25</v>
      </c>
      <c r="B2" s="20" t="s">
        <v>26</v>
      </c>
      <c r="C2" s="20" t="s">
        <v>16</v>
      </c>
      <c r="D2" s="20" t="s">
        <v>27</v>
      </c>
      <c r="E2" s="20" t="s">
        <v>40</v>
      </c>
      <c r="F2" s="20" t="s">
        <v>30</v>
      </c>
      <c r="G2" s="20" t="s">
        <v>31</v>
      </c>
      <c r="H2" s="20" t="s">
        <v>50</v>
      </c>
      <c r="I2" s="20" t="s">
        <v>34</v>
      </c>
      <c r="J2" s="20" t="s">
        <v>35</v>
      </c>
      <c r="K2" s="20" t="s">
        <v>24</v>
      </c>
      <c r="L2" s="78" t="s">
        <v>109</v>
      </c>
      <c r="N2" s="97" t="s">
        <v>127</v>
      </c>
      <c r="P2" s="78" t="s">
        <v>25</v>
      </c>
      <c r="Q2" s="78" t="s">
        <v>26</v>
      </c>
      <c r="R2" s="78" t="s">
        <v>16</v>
      </c>
      <c r="S2" s="78" t="s">
        <v>27</v>
      </c>
      <c r="T2" s="78" t="s">
        <v>40</v>
      </c>
      <c r="U2" s="78" t="s">
        <v>30</v>
      </c>
      <c r="V2" s="78" t="s">
        <v>31</v>
      </c>
      <c r="W2" s="100" t="s">
        <v>103</v>
      </c>
      <c r="X2" s="100" t="s">
        <v>104</v>
      </c>
      <c r="Y2" s="100" t="s">
        <v>105</v>
      </c>
      <c r="Z2" s="100" t="s">
        <v>106</v>
      </c>
      <c r="AA2" s="100" t="s">
        <v>102</v>
      </c>
      <c r="AB2" s="100" t="s">
        <v>107</v>
      </c>
      <c r="AC2" s="101" t="s">
        <v>15</v>
      </c>
      <c r="AD2" s="78" t="s">
        <v>109</v>
      </c>
    </row>
    <row r="3" spans="1:31" s="16" customFormat="1" ht="25.05" customHeight="1" x14ac:dyDescent="0.3">
      <c r="A3" s="17">
        <v>1</v>
      </c>
      <c r="B3" s="18" t="s">
        <v>64</v>
      </c>
      <c r="C3" s="29"/>
      <c r="D3" s="29"/>
      <c r="E3" s="29">
        <f>(4*0.2*0.3)*3</f>
        <v>0.72</v>
      </c>
      <c r="F3" s="30">
        <v>2500</v>
      </c>
      <c r="G3" s="30">
        <f>E3*F3</f>
        <v>1800</v>
      </c>
      <c r="H3" s="30" t="s">
        <v>51</v>
      </c>
      <c r="I3" s="30">
        <f>(3.48+42.3)</f>
        <v>45.779999999999994</v>
      </c>
      <c r="J3" s="31">
        <f>G3*I3</f>
        <v>82403.999999999985</v>
      </c>
      <c r="K3" s="75" t="s">
        <v>23</v>
      </c>
      <c r="L3" s="79" t="s">
        <v>70</v>
      </c>
      <c r="N3" s="48"/>
      <c r="P3" s="104">
        <v>1</v>
      </c>
      <c r="Q3" s="105" t="s">
        <v>64</v>
      </c>
      <c r="R3" s="106"/>
      <c r="S3" s="106"/>
      <c r="T3" s="106">
        <f>(4*0.2*0.3)*3</f>
        <v>0.72</v>
      </c>
      <c r="U3" s="107">
        <v>2500</v>
      </c>
      <c r="V3" s="108">
        <f t="shared" ref="V3:V17" si="0">G3</f>
        <v>1800</v>
      </c>
      <c r="W3" s="112">
        <f>(13.36*1.11)*1.065</f>
        <v>15.793524</v>
      </c>
      <c r="X3" s="48">
        <v>1.08</v>
      </c>
      <c r="Y3" s="48">
        <v>1.1499999999999999</v>
      </c>
      <c r="Z3" s="48">
        <v>1.17</v>
      </c>
      <c r="AA3" s="109">
        <f>((W3*X3*Y3)*V3)*Z3</f>
        <v>41310.362637648002</v>
      </c>
      <c r="AB3" s="109">
        <f t="shared" ref="AB3:AB17" si="1">(0.4*I3)*G3</f>
        <v>32961.599999999999</v>
      </c>
      <c r="AC3" s="109">
        <f>AA3+AB3</f>
        <v>74271.962637648001</v>
      </c>
      <c r="AD3" s="79" t="s">
        <v>70</v>
      </c>
      <c r="AE3" s="113"/>
    </row>
    <row r="4" spans="1:31" s="16" customFormat="1" ht="25.05" customHeight="1" x14ac:dyDescent="0.3">
      <c r="A4" s="17">
        <v>2</v>
      </c>
      <c r="B4" s="73" t="s">
        <v>108</v>
      </c>
      <c r="C4" s="29">
        <f>(2*(3*2.4))+(2*(3*3))+(2*(3*3))+(3*1.2)+(4*3)+(1.5*3)+(7*3)</f>
        <v>91.5</v>
      </c>
      <c r="D4" s="32">
        <v>2.5000000000000001E-2</v>
      </c>
      <c r="E4" s="29">
        <f>C4*D4</f>
        <v>2.2875000000000001</v>
      </c>
      <c r="F4" s="30">
        <v>2500</v>
      </c>
      <c r="G4" s="30">
        <f>E4*F4</f>
        <v>5718.75</v>
      </c>
      <c r="H4" s="30" t="s">
        <v>51</v>
      </c>
      <c r="I4" s="30">
        <f>(3.48+42.3)</f>
        <v>45.779999999999994</v>
      </c>
      <c r="J4" s="31">
        <f t="shared" ref="J4:J17" si="2">G4*I4</f>
        <v>261804.37499999997</v>
      </c>
      <c r="K4" s="75" t="s">
        <v>41</v>
      </c>
      <c r="L4" s="79" t="s">
        <v>129</v>
      </c>
      <c r="N4" s="48"/>
      <c r="P4" s="104">
        <v>2</v>
      </c>
      <c r="Q4" s="105" t="s">
        <v>108</v>
      </c>
      <c r="R4" s="106">
        <f>(2*(3*2.4))+(2*(3*3))+(2*(3*3))+(3*1.2)+(4*3)+(1.5*3)+(7*3)</f>
        <v>91.5</v>
      </c>
      <c r="S4" s="110">
        <v>2.5000000000000001E-2</v>
      </c>
      <c r="T4" s="106">
        <f>R4*S4</f>
        <v>2.2875000000000001</v>
      </c>
      <c r="U4" s="107">
        <v>2500</v>
      </c>
      <c r="V4" s="108">
        <f t="shared" si="0"/>
        <v>5718.75</v>
      </c>
      <c r="W4" s="112">
        <f>(24.81*1.18)*1.065</f>
        <v>31.178726999999995</v>
      </c>
      <c r="X4" s="48">
        <v>1.08</v>
      </c>
      <c r="Y4" s="48">
        <v>1.1499999999999999</v>
      </c>
      <c r="Z4" s="48">
        <v>1.17</v>
      </c>
      <c r="AA4" s="109">
        <f t="shared" ref="AA4:AA17" si="3">((W4*X4*Y4)*V4)*Z4</f>
        <v>259099.72279871051</v>
      </c>
      <c r="AB4" s="109">
        <f t="shared" si="1"/>
        <v>104721.74999999999</v>
      </c>
      <c r="AC4" s="109">
        <f t="shared" ref="AC4:AC17" si="4">AA4+AB4</f>
        <v>363821.47279871051</v>
      </c>
      <c r="AD4" s="79" t="s">
        <v>129</v>
      </c>
      <c r="AE4" s="113"/>
    </row>
    <row r="5" spans="1:31" s="16" customFormat="1" ht="25.05" customHeight="1" x14ac:dyDescent="0.3">
      <c r="A5" s="17">
        <v>3</v>
      </c>
      <c r="B5" s="18" t="s">
        <v>29</v>
      </c>
      <c r="C5" s="29">
        <f>(2*3*2.4)+(2*3*3)+(2*3*3)+(3*1.2)+(4*3)+(1.5*3)+(7*3)</f>
        <v>91.5</v>
      </c>
      <c r="D5" s="32">
        <v>6.3E-2</v>
      </c>
      <c r="E5" s="29">
        <f>C5*D5</f>
        <v>5.7645</v>
      </c>
      <c r="F5" s="30">
        <v>2300</v>
      </c>
      <c r="G5" s="30">
        <f>E5*F5</f>
        <v>13258.35</v>
      </c>
      <c r="H5" s="30" t="s">
        <v>51</v>
      </c>
      <c r="I5" s="30">
        <f>(3.48+37.96)</f>
        <v>41.44</v>
      </c>
      <c r="J5" s="31">
        <f t="shared" si="2"/>
        <v>549426.02399999998</v>
      </c>
      <c r="K5" s="99" t="s">
        <v>130</v>
      </c>
      <c r="L5" s="79" t="s">
        <v>110</v>
      </c>
      <c r="N5" s="98" t="s">
        <v>111</v>
      </c>
      <c r="P5" s="104">
        <v>3</v>
      </c>
      <c r="Q5" s="105" t="s">
        <v>29</v>
      </c>
      <c r="R5" s="106">
        <f>(2*3*2.4)+(2*3*3)+(2*3*3)+(3*1.2)+(4*3)+(1.5*3)+(7*3)</f>
        <v>91.5</v>
      </c>
      <c r="S5" s="110">
        <v>6.3E-2</v>
      </c>
      <c r="T5" s="106">
        <f>R5*S5</f>
        <v>5.7645</v>
      </c>
      <c r="U5" s="107">
        <v>2300</v>
      </c>
      <c r="V5" s="108">
        <f t="shared" si="0"/>
        <v>13258.35</v>
      </c>
      <c r="W5" s="112">
        <f>(8.7*1.18)*1.065</f>
        <v>10.933289999999998</v>
      </c>
      <c r="X5" s="48">
        <v>1.08</v>
      </c>
      <c r="Y5" s="48">
        <v>1.1499999999999999</v>
      </c>
      <c r="Z5" s="48">
        <v>1.17</v>
      </c>
      <c r="AA5" s="109">
        <f t="shared" si="3"/>
        <v>210643.37512405546</v>
      </c>
      <c r="AB5" s="109">
        <f t="shared" si="1"/>
        <v>219770.40960000001</v>
      </c>
      <c r="AC5" s="109">
        <f t="shared" si="4"/>
        <v>430413.78472405544</v>
      </c>
      <c r="AD5" s="79" t="s">
        <v>110</v>
      </c>
      <c r="AE5" s="113"/>
    </row>
    <row r="6" spans="1:31" s="16" customFormat="1" ht="25.05" customHeight="1" x14ac:dyDescent="0.3">
      <c r="A6" s="17">
        <v>4</v>
      </c>
      <c r="B6" s="18" t="s">
        <v>65</v>
      </c>
      <c r="C6" s="29">
        <f>4.2*8.5</f>
        <v>35.700000000000003</v>
      </c>
      <c r="D6" s="32">
        <v>2.5000000000000001E-2</v>
      </c>
      <c r="E6" s="29">
        <f t="shared" ref="E6:E17" si="5">C6*D6</f>
        <v>0.89250000000000007</v>
      </c>
      <c r="F6" s="30">
        <v>2500</v>
      </c>
      <c r="G6" s="30">
        <f t="shared" ref="G6:G17" si="6">E6*F6</f>
        <v>2231.25</v>
      </c>
      <c r="H6" s="30" t="s">
        <v>51</v>
      </c>
      <c r="I6" s="30">
        <f>(3.48+42.3)</f>
        <v>45.779999999999994</v>
      </c>
      <c r="J6" s="31">
        <f t="shared" si="2"/>
        <v>102146.62499999999</v>
      </c>
      <c r="K6" s="75" t="s">
        <v>22</v>
      </c>
      <c r="L6" s="79" t="s">
        <v>70</v>
      </c>
      <c r="N6" s="48"/>
      <c r="P6" s="104">
        <v>4</v>
      </c>
      <c r="Q6" s="105" t="s">
        <v>65</v>
      </c>
      <c r="R6" s="106">
        <f>4.2*8.5</f>
        <v>35.700000000000003</v>
      </c>
      <c r="S6" s="110">
        <v>2.5000000000000001E-2</v>
      </c>
      <c r="T6" s="106">
        <f t="shared" ref="T6:T12" si="7">R6*S6</f>
        <v>0.89250000000000007</v>
      </c>
      <c r="U6" s="107">
        <v>2500</v>
      </c>
      <c r="V6" s="108">
        <f t="shared" si="0"/>
        <v>2231.25</v>
      </c>
      <c r="W6" s="112">
        <f>(13.36*1.11)*1.065</f>
        <v>15.793524</v>
      </c>
      <c r="X6" s="48">
        <v>1.08</v>
      </c>
      <c r="Y6" s="48">
        <v>1.1499999999999999</v>
      </c>
      <c r="Z6" s="48">
        <v>1.17</v>
      </c>
      <c r="AA6" s="109">
        <f t="shared" si="3"/>
        <v>51207.637019584501</v>
      </c>
      <c r="AB6" s="109">
        <f t="shared" si="1"/>
        <v>40858.649999999994</v>
      </c>
      <c r="AC6" s="109">
        <f t="shared" si="4"/>
        <v>92066.287019584503</v>
      </c>
      <c r="AD6" s="79" t="s">
        <v>70</v>
      </c>
      <c r="AE6" s="113"/>
    </row>
    <row r="7" spans="1:31" s="16" customFormat="1" ht="25.05" customHeight="1" x14ac:dyDescent="0.3">
      <c r="A7" s="17">
        <v>5</v>
      </c>
      <c r="B7" s="18" t="s">
        <v>66</v>
      </c>
      <c r="C7" s="29">
        <f>2.4*8.5</f>
        <v>20.399999999999999</v>
      </c>
      <c r="D7" s="32">
        <v>2.5000000000000001E-2</v>
      </c>
      <c r="E7" s="29">
        <f t="shared" si="5"/>
        <v>0.51</v>
      </c>
      <c r="F7" s="30">
        <v>2500</v>
      </c>
      <c r="G7" s="30">
        <f t="shared" si="6"/>
        <v>1275</v>
      </c>
      <c r="H7" s="30" t="s">
        <v>51</v>
      </c>
      <c r="I7" s="30">
        <f>(3.48+42.3)</f>
        <v>45.779999999999994</v>
      </c>
      <c r="J7" s="31">
        <f t="shared" si="2"/>
        <v>58369.499999999993</v>
      </c>
      <c r="K7" s="75" t="s">
        <v>22</v>
      </c>
      <c r="L7" s="79" t="s">
        <v>70</v>
      </c>
      <c r="N7" s="48"/>
      <c r="P7" s="104">
        <v>5</v>
      </c>
      <c r="Q7" s="105" t="s">
        <v>66</v>
      </c>
      <c r="R7" s="106">
        <f>2.4*8.5</f>
        <v>20.399999999999999</v>
      </c>
      <c r="S7" s="110">
        <v>2.5000000000000001E-2</v>
      </c>
      <c r="T7" s="106">
        <f t="shared" si="7"/>
        <v>0.51</v>
      </c>
      <c r="U7" s="107">
        <v>2500</v>
      </c>
      <c r="V7" s="108">
        <f t="shared" si="0"/>
        <v>1275</v>
      </c>
      <c r="W7" s="112">
        <f>(13.36*1.11)*1.065</f>
        <v>15.793524</v>
      </c>
      <c r="X7" s="48">
        <v>1.08</v>
      </c>
      <c r="Y7" s="48">
        <v>1.1499999999999999</v>
      </c>
      <c r="Z7" s="48">
        <v>1.17</v>
      </c>
      <c r="AA7" s="109">
        <f t="shared" si="3"/>
        <v>29261.506868334</v>
      </c>
      <c r="AB7" s="109">
        <f t="shared" si="1"/>
        <v>23347.799999999996</v>
      </c>
      <c r="AC7" s="109">
        <f t="shared" si="4"/>
        <v>52609.306868333995</v>
      </c>
      <c r="AD7" s="79" t="s">
        <v>70</v>
      </c>
      <c r="AE7" s="113"/>
    </row>
    <row r="8" spans="1:31" s="16" customFormat="1" ht="25.05" customHeight="1" x14ac:dyDescent="0.3">
      <c r="A8" s="17">
        <v>6</v>
      </c>
      <c r="B8" s="18" t="s">
        <v>67</v>
      </c>
      <c r="C8" s="29">
        <f>(2*1.5*3.95)</f>
        <v>11.850000000000001</v>
      </c>
      <c r="D8" s="29">
        <v>0.05</v>
      </c>
      <c r="E8" s="29">
        <f t="shared" si="5"/>
        <v>0.59250000000000014</v>
      </c>
      <c r="F8" s="30">
        <v>2500</v>
      </c>
      <c r="G8" s="30">
        <f t="shared" si="6"/>
        <v>1481.2500000000005</v>
      </c>
      <c r="H8" s="30" t="s">
        <v>51</v>
      </c>
      <c r="I8" s="30">
        <f>(3.48+42.3)</f>
        <v>45.779999999999994</v>
      </c>
      <c r="J8" s="31">
        <f t="shared" si="2"/>
        <v>67811.625000000015</v>
      </c>
      <c r="K8" s="75" t="s">
        <v>22</v>
      </c>
      <c r="L8" s="79" t="s">
        <v>70</v>
      </c>
      <c r="N8" s="48"/>
      <c r="P8" s="104">
        <v>6</v>
      </c>
      <c r="Q8" s="105" t="s">
        <v>67</v>
      </c>
      <c r="R8" s="106">
        <f>(2*1.5*3.95)</f>
        <v>11.850000000000001</v>
      </c>
      <c r="S8" s="106">
        <v>0.05</v>
      </c>
      <c r="T8" s="106">
        <f t="shared" si="7"/>
        <v>0.59250000000000014</v>
      </c>
      <c r="U8" s="107">
        <v>2500</v>
      </c>
      <c r="V8" s="108">
        <f t="shared" si="0"/>
        <v>1481.2500000000005</v>
      </c>
      <c r="W8" s="112">
        <f>(13.36*1.11)*1.065</f>
        <v>15.793524</v>
      </c>
      <c r="X8" s="48">
        <v>1.08</v>
      </c>
      <c r="Y8" s="48">
        <v>1.1499999999999999</v>
      </c>
      <c r="Z8" s="48">
        <v>1.17</v>
      </c>
      <c r="AA8" s="109">
        <f t="shared" si="3"/>
        <v>33994.985920564512</v>
      </c>
      <c r="AB8" s="109">
        <f t="shared" si="1"/>
        <v>27124.650000000005</v>
      </c>
      <c r="AC8" s="109">
        <f t="shared" si="4"/>
        <v>61119.635920564513</v>
      </c>
      <c r="AD8" s="79" t="s">
        <v>70</v>
      </c>
      <c r="AE8" s="113"/>
    </row>
    <row r="9" spans="1:31" s="16" customFormat="1" ht="25.05" customHeight="1" x14ac:dyDescent="0.3">
      <c r="A9" s="17">
        <v>7</v>
      </c>
      <c r="B9" s="18" t="s">
        <v>49</v>
      </c>
      <c r="C9" s="29">
        <f>(5.05*6)</f>
        <v>30.299999999999997</v>
      </c>
      <c r="D9" s="32">
        <v>0.34300000000000003</v>
      </c>
      <c r="E9" s="29">
        <f t="shared" si="5"/>
        <v>10.392899999999999</v>
      </c>
      <c r="F9" s="30">
        <v>2100</v>
      </c>
      <c r="G9" s="30">
        <f t="shared" si="6"/>
        <v>21825.089999999997</v>
      </c>
      <c r="H9" s="30" t="s">
        <v>51</v>
      </c>
      <c r="I9" s="30">
        <f>(4.34+30.96)</f>
        <v>35.299999999999997</v>
      </c>
      <c r="J9" s="31">
        <f t="shared" si="2"/>
        <v>770425.67699999979</v>
      </c>
      <c r="K9" s="76"/>
      <c r="L9" s="79" t="s">
        <v>112</v>
      </c>
      <c r="M9" s="34"/>
      <c r="N9" s="98" t="s">
        <v>111</v>
      </c>
      <c r="O9" s="34"/>
      <c r="P9" s="104">
        <v>7</v>
      </c>
      <c r="Q9" s="105" t="s">
        <v>49</v>
      </c>
      <c r="R9" s="106">
        <f>(5.05*6)</f>
        <v>30.299999999999997</v>
      </c>
      <c r="S9" s="110">
        <v>0.34300000000000003</v>
      </c>
      <c r="T9" s="106">
        <f t="shared" si="7"/>
        <v>10.392899999999999</v>
      </c>
      <c r="U9" s="107">
        <v>2100</v>
      </c>
      <c r="V9" s="108">
        <f t="shared" si="0"/>
        <v>21825.089999999997</v>
      </c>
      <c r="W9" s="112">
        <f>(3.7*1.18*1.052)</f>
        <v>4.593032</v>
      </c>
      <c r="X9" s="48">
        <v>1.08</v>
      </c>
      <c r="Y9" s="48">
        <v>1.1499999999999999</v>
      </c>
      <c r="Z9" s="48">
        <v>1.17</v>
      </c>
      <c r="AA9" s="109">
        <f t="shared" si="3"/>
        <v>145667.60239814283</v>
      </c>
      <c r="AB9" s="109">
        <f t="shared" si="1"/>
        <v>308170.27079999994</v>
      </c>
      <c r="AC9" s="109">
        <f t="shared" si="4"/>
        <v>453837.87319814274</v>
      </c>
      <c r="AD9" s="79" t="s">
        <v>112</v>
      </c>
      <c r="AE9" s="113"/>
    </row>
    <row r="10" spans="1:31" s="16" customFormat="1" ht="25.05" customHeight="1" x14ac:dyDescent="0.3">
      <c r="A10" s="17">
        <v>8</v>
      </c>
      <c r="B10" s="18" t="s">
        <v>71</v>
      </c>
      <c r="C10" s="29">
        <f>((8+5.05+8)*6.1)-C8</f>
        <v>116.55500000000001</v>
      </c>
      <c r="D10" s="32">
        <v>2.5000000000000001E-2</v>
      </c>
      <c r="E10" s="29">
        <f t="shared" si="5"/>
        <v>2.9138750000000004</v>
      </c>
      <c r="F10" s="30">
        <v>2500</v>
      </c>
      <c r="G10" s="30">
        <f t="shared" si="6"/>
        <v>7284.6875000000009</v>
      </c>
      <c r="H10" s="30" t="s">
        <v>51</v>
      </c>
      <c r="I10" s="30">
        <f>(3.48+42.3)</f>
        <v>45.779999999999994</v>
      </c>
      <c r="J10" s="31">
        <f t="shared" si="2"/>
        <v>333492.99375000002</v>
      </c>
      <c r="K10" s="75" t="s">
        <v>48</v>
      </c>
      <c r="L10" s="79" t="s">
        <v>70</v>
      </c>
      <c r="N10" s="48"/>
      <c r="P10" s="104">
        <v>8</v>
      </c>
      <c r="Q10" s="105" t="s">
        <v>71</v>
      </c>
      <c r="R10" s="106">
        <f>((8+5.05+8)*6.1)-R8</f>
        <v>116.55500000000001</v>
      </c>
      <c r="S10" s="110">
        <v>2.5000000000000001E-2</v>
      </c>
      <c r="T10" s="106">
        <f t="shared" si="7"/>
        <v>2.9138750000000004</v>
      </c>
      <c r="U10" s="107">
        <v>2500</v>
      </c>
      <c r="V10" s="108">
        <f t="shared" si="0"/>
        <v>7284.6875000000009</v>
      </c>
      <c r="W10" s="112">
        <f>(13.36*1.11)*1.065</f>
        <v>15.793524</v>
      </c>
      <c r="X10" s="48">
        <v>1.08</v>
      </c>
      <c r="Y10" s="48">
        <v>1.1499999999999999</v>
      </c>
      <c r="Z10" s="48">
        <v>1.17</v>
      </c>
      <c r="AA10" s="109">
        <f t="shared" si="3"/>
        <v>167185.04573718971</v>
      </c>
      <c r="AB10" s="109">
        <f t="shared" si="1"/>
        <v>133397.19750000001</v>
      </c>
      <c r="AC10" s="109">
        <f t="shared" si="4"/>
        <v>300582.24323718972</v>
      </c>
      <c r="AD10" s="79" t="s">
        <v>70</v>
      </c>
      <c r="AE10" s="113"/>
    </row>
    <row r="11" spans="1:31" s="16" customFormat="1" ht="25.05" customHeight="1" x14ac:dyDescent="0.3">
      <c r="A11" s="17">
        <v>9</v>
      </c>
      <c r="B11" s="18" t="s">
        <v>68</v>
      </c>
      <c r="C11" s="29">
        <f>5.05*2.4</f>
        <v>12.12</v>
      </c>
      <c r="D11" s="32">
        <v>0.22600000000000001</v>
      </c>
      <c r="E11" s="29">
        <f t="shared" si="5"/>
        <v>2.7391199999999998</v>
      </c>
      <c r="F11" s="30">
        <v>2300</v>
      </c>
      <c r="G11" s="30">
        <f t="shared" si="6"/>
        <v>6299.9759999999997</v>
      </c>
      <c r="H11" s="30" t="s">
        <v>52</v>
      </c>
      <c r="I11" s="30">
        <f>(3.48+37.96)</f>
        <v>41.44</v>
      </c>
      <c r="J11" s="31">
        <f t="shared" si="2"/>
        <v>261071.00543999998</v>
      </c>
      <c r="K11" s="75" t="s">
        <v>33</v>
      </c>
      <c r="L11" s="79" t="s">
        <v>72</v>
      </c>
      <c r="N11" s="98" t="s">
        <v>128</v>
      </c>
      <c r="P11" s="104">
        <v>9</v>
      </c>
      <c r="Q11" s="105" t="s">
        <v>68</v>
      </c>
      <c r="R11" s="106">
        <f>5.05*2.4</f>
        <v>12.12</v>
      </c>
      <c r="S11" s="110">
        <v>0.22600000000000001</v>
      </c>
      <c r="T11" s="106">
        <f t="shared" si="7"/>
        <v>2.7391199999999998</v>
      </c>
      <c r="U11" s="107">
        <v>2300</v>
      </c>
      <c r="V11" s="108">
        <f t="shared" si="0"/>
        <v>6299.9759999999997</v>
      </c>
      <c r="W11" s="112">
        <f>(5.22*1.11)*1.065</f>
        <v>6.1708229999999995</v>
      </c>
      <c r="X11" s="48">
        <v>1.08</v>
      </c>
      <c r="Y11" s="48">
        <v>1.1499999999999999</v>
      </c>
      <c r="Z11" s="48">
        <v>1.17</v>
      </c>
      <c r="AA11" s="109">
        <f t="shared" si="3"/>
        <v>56492.324115912365</v>
      </c>
      <c r="AB11" s="109">
        <f t="shared" si="1"/>
        <v>104428.402176</v>
      </c>
      <c r="AC11" s="109">
        <f t="shared" si="4"/>
        <v>160920.72629191238</v>
      </c>
      <c r="AD11" s="79" t="s">
        <v>72</v>
      </c>
      <c r="AE11" s="113"/>
    </row>
    <row r="12" spans="1:31" s="16" customFormat="1" ht="25.05" customHeight="1" x14ac:dyDescent="0.3">
      <c r="A12" s="17">
        <v>10</v>
      </c>
      <c r="B12" s="18" t="s">
        <v>53</v>
      </c>
      <c r="C12" s="29">
        <f>5.05*8.07</f>
        <v>40.753500000000003</v>
      </c>
      <c r="D12" s="32">
        <v>0.1</v>
      </c>
      <c r="E12" s="29">
        <f t="shared" si="5"/>
        <v>4.0753500000000003</v>
      </c>
      <c r="F12" s="30">
        <v>1100</v>
      </c>
      <c r="G12" s="30">
        <f t="shared" si="6"/>
        <v>4482.8850000000002</v>
      </c>
      <c r="H12" s="30" t="s">
        <v>52</v>
      </c>
      <c r="I12" s="30">
        <f>(3.48+37.96)</f>
        <v>41.44</v>
      </c>
      <c r="J12" s="31">
        <f t="shared" si="2"/>
        <v>185770.75440000001</v>
      </c>
      <c r="K12" s="77"/>
      <c r="L12" s="79" t="s">
        <v>73</v>
      </c>
      <c r="N12" s="48"/>
      <c r="P12" s="104">
        <v>10</v>
      </c>
      <c r="Q12" s="105" t="s">
        <v>53</v>
      </c>
      <c r="R12" s="106">
        <f>5.05*8.07</f>
        <v>40.753500000000003</v>
      </c>
      <c r="S12" s="110">
        <v>0.1</v>
      </c>
      <c r="T12" s="106">
        <f t="shared" si="7"/>
        <v>4.0753500000000003</v>
      </c>
      <c r="U12" s="107">
        <v>1100</v>
      </c>
      <c r="V12" s="108">
        <f t="shared" si="0"/>
        <v>4482.8850000000002</v>
      </c>
      <c r="W12" s="112">
        <v>5</v>
      </c>
      <c r="X12" s="48">
        <v>1.08</v>
      </c>
      <c r="Y12" s="48">
        <v>1.1499999999999999</v>
      </c>
      <c r="Z12" s="48">
        <v>1.17</v>
      </c>
      <c r="AA12" s="109">
        <f t="shared" si="3"/>
        <v>32571.297544499997</v>
      </c>
      <c r="AB12" s="109">
        <f t="shared" si="1"/>
        <v>74308.301760000002</v>
      </c>
      <c r="AC12" s="109">
        <f t="shared" si="4"/>
        <v>106879.59930450001</v>
      </c>
      <c r="AD12" s="79" t="s">
        <v>73</v>
      </c>
      <c r="AE12" s="113"/>
    </row>
    <row r="13" spans="1:31" s="16" customFormat="1" ht="25.05" customHeight="1" x14ac:dyDescent="0.3">
      <c r="A13" s="17">
        <v>11</v>
      </c>
      <c r="B13" s="18" t="s">
        <v>32</v>
      </c>
      <c r="C13" s="29">
        <f>(5.05*8.07)*2</f>
        <v>81.507000000000005</v>
      </c>
      <c r="D13" s="32">
        <v>6.3E-2</v>
      </c>
      <c r="E13" s="29">
        <f>C13*D13</f>
        <v>5.1349410000000004</v>
      </c>
      <c r="F13" s="30">
        <v>2100</v>
      </c>
      <c r="G13" s="30">
        <f>E13*F13</f>
        <v>10783.376100000001</v>
      </c>
      <c r="H13" s="30" t="s">
        <v>52</v>
      </c>
      <c r="I13" s="30">
        <f>(4.34+30.96)</f>
        <v>35.299999999999997</v>
      </c>
      <c r="J13" s="31">
        <f t="shared" si="2"/>
        <v>380653.17632999999</v>
      </c>
      <c r="K13" s="76"/>
      <c r="L13" s="79" t="s">
        <v>74</v>
      </c>
      <c r="M13" s="72"/>
      <c r="N13" s="98" t="s">
        <v>128</v>
      </c>
      <c r="P13" s="104">
        <v>11</v>
      </c>
      <c r="Q13" s="105" t="s">
        <v>32</v>
      </c>
      <c r="R13" s="106">
        <f>(5.05*8.07)*2</f>
        <v>81.507000000000005</v>
      </c>
      <c r="S13" s="110">
        <v>6.3E-2</v>
      </c>
      <c r="T13" s="106">
        <f>R13*S13</f>
        <v>5.1349410000000004</v>
      </c>
      <c r="U13" s="107">
        <v>2100</v>
      </c>
      <c r="V13" s="108">
        <f t="shared" si="0"/>
        <v>10783.376100000001</v>
      </c>
      <c r="W13" s="112">
        <f>(13.19*1.18*1.052)</f>
        <v>16.373538399999997</v>
      </c>
      <c r="X13" s="48">
        <v>1.08</v>
      </c>
      <c r="Y13" s="48">
        <v>1.1499999999999999</v>
      </c>
      <c r="Z13" s="48">
        <v>1.17</v>
      </c>
      <c r="AA13" s="109">
        <f t="shared" si="3"/>
        <v>256569.33760087544</v>
      </c>
      <c r="AB13" s="109">
        <f t="shared" si="1"/>
        <v>152261.27053200002</v>
      </c>
      <c r="AC13" s="109">
        <f t="shared" si="4"/>
        <v>408830.60813287547</v>
      </c>
      <c r="AD13" s="79" t="s">
        <v>74</v>
      </c>
      <c r="AE13" s="113"/>
    </row>
    <row r="14" spans="1:31" s="16" customFormat="1" ht="25.05" customHeight="1" x14ac:dyDescent="0.3">
      <c r="A14" s="17">
        <v>12</v>
      </c>
      <c r="B14" s="19" t="s">
        <v>54</v>
      </c>
      <c r="C14" s="29" t="s">
        <v>36</v>
      </c>
      <c r="D14" s="32" t="s">
        <v>36</v>
      </c>
      <c r="E14" s="29">
        <f>'MEM. CALC - ISOL'!C15</f>
        <v>1.31985</v>
      </c>
      <c r="F14" s="30">
        <v>2300</v>
      </c>
      <c r="G14" s="30">
        <f t="shared" si="6"/>
        <v>3035.6549999999997</v>
      </c>
      <c r="H14" s="30" t="s">
        <v>51</v>
      </c>
      <c r="I14" s="30">
        <f>(3.48+37.96)</f>
        <v>41.44</v>
      </c>
      <c r="J14" s="31">
        <f t="shared" si="2"/>
        <v>125797.54319999999</v>
      </c>
      <c r="K14" s="77"/>
      <c r="L14" s="79" t="s">
        <v>72</v>
      </c>
      <c r="N14" s="98" t="s">
        <v>128</v>
      </c>
      <c r="P14" s="104">
        <v>12</v>
      </c>
      <c r="Q14" s="111" t="s">
        <v>54</v>
      </c>
      <c r="R14" s="106" t="s">
        <v>36</v>
      </c>
      <c r="S14" s="110" t="s">
        <v>36</v>
      </c>
      <c r="T14" s="106">
        <f>'MEM. CALC - ISOL'!R15</f>
        <v>0</v>
      </c>
      <c r="U14" s="107">
        <v>2300</v>
      </c>
      <c r="V14" s="108">
        <f t="shared" si="0"/>
        <v>3035.6549999999997</v>
      </c>
      <c r="W14" s="112">
        <f>(5.22*1.11)*1.065</f>
        <v>6.1708229999999995</v>
      </c>
      <c r="X14" s="48">
        <v>1.08</v>
      </c>
      <c r="Y14" s="48">
        <v>1.1499999999999999</v>
      </c>
      <c r="Z14" s="48">
        <v>1.17</v>
      </c>
      <c r="AA14" s="109">
        <f t="shared" si="3"/>
        <v>27220.930074033608</v>
      </c>
      <c r="AB14" s="109">
        <f t="shared" si="1"/>
        <v>50319.01728</v>
      </c>
      <c r="AC14" s="109">
        <f t="shared" si="4"/>
        <v>77539.947354033604</v>
      </c>
      <c r="AD14" s="79" t="s">
        <v>72</v>
      </c>
      <c r="AE14" s="113"/>
    </row>
    <row r="15" spans="1:31" s="16" customFormat="1" ht="25.05" customHeight="1" x14ac:dyDescent="0.3">
      <c r="A15" s="17">
        <v>13</v>
      </c>
      <c r="B15" s="19" t="s">
        <v>37</v>
      </c>
      <c r="C15" s="29">
        <f>(0.6*0.6)*10</f>
        <v>3.5999999999999996</v>
      </c>
      <c r="D15" s="32">
        <v>0.1</v>
      </c>
      <c r="E15" s="29">
        <f t="shared" si="5"/>
        <v>0.36</v>
      </c>
      <c r="F15" s="30">
        <v>2300</v>
      </c>
      <c r="G15" s="30">
        <f t="shared" si="6"/>
        <v>828</v>
      </c>
      <c r="H15" s="30" t="s">
        <v>60</v>
      </c>
      <c r="I15" s="30">
        <f>(3.48+37.96)</f>
        <v>41.44</v>
      </c>
      <c r="J15" s="31">
        <f t="shared" si="2"/>
        <v>34312.32</v>
      </c>
      <c r="K15" s="77"/>
      <c r="L15" s="79" t="s">
        <v>72</v>
      </c>
      <c r="N15" s="98" t="s">
        <v>128</v>
      </c>
      <c r="P15" s="104">
        <v>13</v>
      </c>
      <c r="Q15" s="111" t="s">
        <v>37</v>
      </c>
      <c r="R15" s="106">
        <f>(0.6*0.6)*10</f>
        <v>3.5999999999999996</v>
      </c>
      <c r="S15" s="110">
        <v>0.1</v>
      </c>
      <c r="T15" s="106">
        <f t="shared" ref="T15:T17" si="8">R15*S15</f>
        <v>0.36</v>
      </c>
      <c r="U15" s="107">
        <v>2300</v>
      </c>
      <c r="V15" s="108">
        <f t="shared" si="0"/>
        <v>828</v>
      </c>
      <c r="W15" s="112">
        <f>(5.22*1.11)*1.065</f>
        <v>6.1708229999999995</v>
      </c>
      <c r="X15" s="48">
        <v>1.08</v>
      </c>
      <c r="Y15" s="48">
        <v>1.1499999999999999</v>
      </c>
      <c r="Z15" s="48">
        <v>1.17</v>
      </c>
      <c r="AA15" s="109">
        <f t="shared" si="3"/>
        <v>7424.7337399341586</v>
      </c>
      <c r="AB15" s="109">
        <f t="shared" si="1"/>
        <v>13724.928</v>
      </c>
      <c r="AC15" s="109">
        <f t="shared" si="4"/>
        <v>21149.661739934159</v>
      </c>
      <c r="AD15" s="79" t="s">
        <v>72</v>
      </c>
      <c r="AE15" s="113"/>
    </row>
    <row r="16" spans="1:31" s="16" customFormat="1" ht="25.05" customHeight="1" x14ac:dyDescent="0.3">
      <c r="A16" s="17">
        <v>14</v>
      </c>
      <c r="B16" s="19" t="s">
        <v>38</v>
      </c>
      <c r="C16" s="29">
        <f>'MEM. CALC - ISOL'!O7*4</f>
        <v>2.1563891974240339</v>
      </c>
      <c r="D16" s="32">
        <v>0.34300000000000003</v>
      </c>
      <c r="E16" s="29">
        <f t="shared" si="5"/>
        <v>0.73964149471644369</v>
      </c>
      <c r="F16" s="30" t="s">
        <v>36</v>
      </c>
      <c r="G16" s="30">
        <v>4</v>
      </c>
      <c r="H16" s="30" t="s">
        <v>61</v>
      </c>
      <c r="I16" s="30">
        <v>13000</v>
      </c>
      <c r="J16" s="31">
        <f t="shared" si="2"/>
        <v>52000</v>
      </c>
      <c r="K16" s="77" t="s">
        <v>55</v>
      </c>
      <c r="L16" s="79" t="s">
        <v>111</v>
      </c>
      <c r="N16" s="48"/>
      <c r="P16" s="104">
        <v>14</v>
      </c>
      <c r="Q16" s="111" t="s">
        <v>38</v>
      </c>
      <c r="R16" s="106">
        <f>'MEM. CALC - ISOL'!AD7*4</f>
        <v>0</v>
      </c>
      <c r="S16" s="110">
        <v>0.34300000000000003</v>
      </c>
      <c r="T16" s="106">
        <f t="shared" si="8"/>
        <v>0</v>
      </c>
      <c r="U16" s="107" t="s">
        <v>36</v>
      </c>
      <c r="V16" s="108">
        <f t="shared" si="0"/>
        <v>4</v>
      </c>
      <c r="W16" s="112" t="s">
        <v>36</v>
      </c>
      <c r="X16" s="48">
        <v>1.08</v>
      </c>
      <c r="Y16" s="48">
        <v>1.1499999999999999</v>
      </c>
      <c r="Z16" s="48">
        <v>1.17</v>
      </c>
      <c r="AA16" s="109">
        <v>0</v>
      </c>
      <c r="AB16" s="109">
        <f t="shared" si="1"/>
        <v>20800</v>
      </c>
      <c r="AC16" s="109">
        <v>52000</v>
      </c>
      <c r="AD16" s="79" t="s">
        <v>111</v>
      </c>
      <c r="AE16" s="113"/>
    </row>
    <row r="17" spans="1:31" s="16" customFormat="1" ht="25.05" customHeight="1" x14ac:dyDescent="0.3">
      <c r="A17" s="17">
        <v>15</v>
      </c>
      <c r="B17" s="19" t="s">
        <v>43</v>
      </c>
      <c r="C17" s="29">
        <f>(0.2*0.15)*20</f>
        <v>0.6</v>
      </c>
      <c r="D17" s="32">
        <v>0.1</v>
      </c>
      <c r="E17" s="29">
        <f t="shared" si="5"/>
        <v>0.06</v>
      </c>
      <c r="F17" s="30">
        <v>2300</v>
      </c>
      <c r="G17" s="30">
        <f t="shared" si="6"/>
        <v>138</v>
      </c>
      <c r="H17" s="30" t="s">
        <v>60</v>
      </c>
      <c r="I17" s="30">
        <f>(3.48+37.96)</f>
        <v>41.44</v>
      </c>
      <c r="J17" s="31">
        <f t="shared" si="2"/>
        <v>5718.7199999999993</v>
      </c>
      <c r="K17" s="77" t="s">
        <v>44</v>
      </c>
      <c r="L17" s="79" t="s">
        <v>72</v>
      </c>
      <c r="N17" s="98" t="s">
        <v>128</v>
      </c>
      <c r="P17" s="104">
        <v>15</v>
      </c>
      <c r="Q17" s="111" t="s">
        <v>43</v>
      </c>
      <c r="R17" s="106">
        <f>(0.2*0.15)*20</f>
        <v>0.6</v>
      </c>
      <c r="S17" s="110">
        <v>0.1</v>
      </c>
      <c r="T17" s="106">
        <f t="shared" si="8"/>
        <v>0.06</v>
      </c>
      <c r="U17" s="107">
        <v>2300</v>
      </c>
      <c r="V17" s="108">
        <f t="shared" si="0"/>
        <v>138</v>
      </c>
      <c r="W17" s="112">
        <f>(5.22*1.11)*1.065</f>
        <v>6.1708229999999995</v>
      </c>
      <c r="X17" s="48">
        <v>1.08</v>
      </c>
      <c r="Y17" s="48">
        <v>1.1499999999999999</v>
      </c>
      <c r="Z17" s="48">
        <v>1.17</v>
      </c>
      <c r="AA17" s="109">
        <f t="shared" si="3"/>
        <v>1237.4556233223598</v>
      </c>
      <c r="AB17" s="109">
        <f t="shared" si="1"/>
        <v>2287.4880000000003</v>
      </c>
      <c r="AC17" s="109">
        <f t="shared" si="4"/>
        <v>3524.9436233223601</v>
      </c>
      <c r="AD17" s="79" t="s">
        <v>72</v>
      </c>
      <c r="AE17" s="113"/>
    </row>
    <row r="18" spans="1:31" ht="18" customHeight="1" x14ac:dyDescent="0.3">
      <c r="B18" s="15" t="s">
        <v>15</v>
      </c>
      <c r="C18" s="14">
        <f>SUM(C3:C17)</f>
        <v>538.5418891974241</v>
      </c>
      <c r="D18" s="21"/>
      <c r="E18" s="14">
        <f>SUM(E3:E17)</f>
        <v>38.502677494716451</v>
      </c>
      <c r="F18" s="21"/>
      <c r="G18" s="74">
        <f>SUM(G3:G17)</f>
        <v>80446.2696</v>
      </c>
      <c r="H18" s="22"/>
      <c r="I18" s="22"/>
      <c r="J18" s="23">
        <f>SUM(J3:J17)</f>
        <v>3271204.3391200001</v>
      </c>
      <c r="Q18" s="102" t="s">
        <v>15</v>
      </c>
      <c r="R18" s="103">
        <f>SUM(R3:R17)</f>
        <v>536.38550000000009</v>
      </c>
      <c r="S18" s="21"/>
      <c r="T18" s="103">
        <f>SUM(T3:T17)</f>
        <v>36.443186000000004</v>
      </c>
      <c r="U18" s="21"/>
      <c r="AA18" s="80">
        <f>SUM(AA3:AA17)</f>
        <v>1319886.3172028074</v>
      </c>
      <c r="AB18" s="80">
        <f>SUM(AB3:AB17)</f>
        <v>1308481.7356479999</v>
      </c>
      <c r="AC18" s="120">
        <f>SUM(AC3:AC17)</f>
        <v>2659568.0528508076</v>
      </c>
    </row>
    <row r="21" spans="1:31" x14ac:dyDescent="0.3">
      <c r="B21">
        <f>0.229+0.114</f>
        <v>0.34300000000000003</v>
      </c>
    </row>
    <row r="26" spans="1:31" x14ac:dyDescent="0.3">
      <c r="F26">
        <f>0.559/2</f>
        <v>0.27950000000000003</v>
      </c>
      <c r="U26">
        <f>0.559/2</f>
        <v>0.27950000000000003</v>
      </c>
    </row>
  </sheetData>
  <pageMargins left="0.51181102362204722" right="0.51181102362204722" top="0.78740157480314965" bottom="0.78740157480314965" header="0.31496062992125984" footer="0.31496062992125984"/>
  <pageSetup paperSize="9" scale="35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MEM. CALC - ISOL</vt:lpstr>
      <vt:lpstr>ISOLAMENTO EQUIP. </vt:lpstr>
      <vt:lpstr>ISOLAMENTO TUB</vt:lpstr>
      <vt:lpstr>REFRATÁRIO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lvnf@msn.com</dc:creator>
  <cp:lastModifiedBy>lvnf@msn.com</cp:lastModifiedBy>
  <cp:lastPrinted>2023-03-09T16:25:03Z</cp:lastPrinted>
  <dcterms:created xsi:type="dcterms:W3CDTF">2023-03-06T17:57:11Z</dcterms:created>
  <dcterms:modified xsi:type="dcterms:W3CDTF">2023-03-10T13:27:32Z</dcterms:modified>
</cp:coreProperties>
</file>